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הנדסה\2.תכנון\באר יעקב\מגרש 130 - באר יעקב\05-רישוי\רשויות חוץ\חברת בקרה\ג'4\"/>
    </mc:Choice>
  </mc:AlternateContent>
  <xr:revisionPtr revIDLastSave="0" documentId="8_{0F4923F7-4FCC-4EFD-BA07-FED9089E3D3C}" xr6:coauthVersionLast="47" xr6:coauthVersionMax="47" xr10:uidLastSave="{00000000-0000-0000-0000-000000000000}"/>
  <bookViews>
    <workbookView xWindow="-108" yWindow="-108" windowWidth="23256" windowHeight="12456" tabRatio="500" firstSheet="1" activeTab="1" xr2:uid="{00000000-000D-0000-FFFF-FFFF00000000}"/>
  </bookViews>
  <sheets>
    <sheet name="לאחר בחירה מחודשת-מחיר מטרה (2)" sheetId="1" state="hidden" r:id="rId1"/>
    <sheet name="13.1.2025-מחיר מטרה" sheetId="2" r:id="rId2"/>
    <sheet name="בדיקת מחסנים" sheetId="3" r:id="rId3"/>
    <sheet name="גיליון1" sheetId="4" state="hidden" r:id="rId4"/>
    <sheet name="13.1.2025-יחס יח&quot;ד בבניניים" sheetId="5" r:id="rId5"/>
  </sheets>
  <externalReferences>
    <externalReference r:id="rId6"/>
    <externalReference r:id="rId7"/>
  </externalReferences>
  <definedNames>
    <definedName name="_xlnm._FilterDatabase" localSheetId="1" hidden="1">'13.1.2025-מחיר מטרה'!$A$10:$R$149</definedName>
    <definedName name="_xlnm._FilterDatabase" localSheetId="2" hidden="1">'בדיקת מחסנים'!$A$1:$E$68</definedName>
    <definedName name="_xlnm._FilterDatabase" localSheetId="0" hidden="1">'לאחר בחירה מחודשת-מחיר מטרה (2)'!$A$11:$AA$150</definedName>
    <definedName name="_xlnm.Print_Area" localSheetId="1">'13.1.2025-מחיר מטרה'!$A$1:$AF$177</definedName>
    <definedName name="_xlnm.Print_Area" localSheetId="0">'לאחר בחירה מחודשת-מחיר מטרה (2)'!$A$1:$V$155</definedName>
    <definedName name="חניות_מחסנים_101_1" localSheetId="4">#REF!</definedName>
    <definedName name="חניות_מחסנים_101_1">#REF!</definedName>
    <definedName name="חניות_מחסנים_101_2" localSheetId="4">#REF!</definedName>
    <definedName name="חניות_מחסנים_101_2">#REF!</definedName>
    <definedName name="מרפסות_A" localSheetId="4">#REF!</definedName>
    <definedName name="מרפסות_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" i="2" l="1"/>
  <c r="I12" i="5" l="1"/>
  <c r="H12" i="5"/>
  <c r="J11" i="5"/>
  <c r="G11" i="5" s="1"/>
  <c r="J10" i="5"/>
  <c r="G10" i="5"/>
  <c r="F10" i="5"/>
  <c r="J9" i="5"/>
  <c r="J12" i="5" s="1"/>
  <c r="I19" i="5" s="1"/>
  <c r="G9" i="5"/>
  <c r="C9" i="5" s="1"/>
  <c r="F9" i="5"/>
  <c r="G4" i="5"/>
  <c r="C19" i="4"/>
  <c r="E17" i="4"/>
  <c r="E16" i="4"/>
  <c r="D16" i="4"/>
  <c r="D19" i="4" s="1"/>
  <c r="D14" i="4"/>
  <c r="D11" i="4"/>
  <c r="C11" i="4"/>
  <c r="L151" i="2"/>
  <c r="G148" i="2"/>
  <c r="L146" i="2"/>
  <c r="G146" i="2"/>
  <c r="Z145" i="2" a="1"/>
  <c r="Z145" i="2" s="1"/>
  <c r="W145" i="2"/>
  <c r="T145" i="2"/>
  <c r="U145" i="2" s="1"/>
  <c r="Z144" i="2" a="1"/>
  <c r="Z144" i="2" s="1"/>
  <c r="W144" i="2"/>
  <c r="T144" i="2"/>
  <c r="Z143" i="2" a="1"/>
  <c r="Z143" i="2" s="1"/>
  <c r="W143" i="2"/>
  <c r="T143" i="2"/>
  <c r="Z142" i="2" a="1"/>
  <c r="Z142" i="2" s="1"/>
  <c r="W142" i="2"/>
  <c r="T142" i="2"/>
  <c r="U142" i="2" s="1"/>
  <c r="V142" i="2" s="1"/>
  <c r="Z141" i="2" a="1"/>
  <c r="Z141" i="2" s="1"/>
  <c r="W141" i="2"/>
  <c r="T141" i="2"/>
  <c r="Z140" i="2" a="1"/>
  <c r="Z140" i="2" s="1"/>
  <c r="W140" i="2"/>
  <c r="T140" i="2"/>
  <c r="U140" i="2" s="1"/>
  <c r="V140" i="2" s="1"/>
  <c r="Z139" i="2" a="1"/>
  <c r="Z139" i="2" s="1"/>
  <c r="W139" i="2"/>
  <c r="T139" i="2"/>
  <c r="U139" i="2" s="1"/>
  <c r="V139" i="2" s="1"/>
  <c r="Z138" i="2" a="1"/>
  <c r="Z138" i="2" s="1"/>
  <c r="W138" i="2"/>
  <c r="T138" i="2"/>
  <c r="Z137" i="2" a="1"/>
  <c r="Z137" i="2" s="1"/>
  <c r="W137" i="2"/>
  <c r="T137" i="2"/>
  <c r="U137" i="2" s="1"/>
  <c r="V137" i="2" s="1"/>
  <c r="Z136" i="2" a="1"/>
  <c r="Z136" i="2" s="1"/>
  <c r="W136" i="2"/>
  <c r="T136" i="2"/>
  <c r="U136" i="2" s="1"/>
  <c r="Z135" i="2" a="1"/>
  <c r="Z135" i="2" s="1"/>
  <c r="W135" i="2"/>
  <c r="T135" i="2"/>
  <c r="Z134" i="2" a="1"/>
  <c r="Z134" i="2" s="1"/>
  <c r="W134" i="2"/>
  <c r="T134" i="2"/>
  <c r="Z133" i="2" a="1"/>
  <c r="Z133" i="2" s="1"/>
  <c r="W133" i="2"/>
  <c r="T133" i="2"/>
  <c r="U133" i="2" s="1"/>
  <c r="Z132" i="2" a="1"/>
  <c r="Z132" i="2" s="1"/>
  <c r="W132" i="2"/>
  <c r="T132" i="2"/>
  <c r="Z131" i="2" a="1"/>
  <c r="Z131" i="2" s="1"/>
  <c r="W131" i="2"/>
  <c r="T131" i="2"/>
  <c r="Z130" i="2" a="1"/>
  <c r="Z130" i="2" s="1"/>
  <c r="W130" i="2"/>
  <c r="T130" i="2"/>
  <c r="U130" i="2" s="1"/>
  <c r="Z129" i="2" a="1"/>
  <c r="Z129" i="2" s="1"/>
  <c r="W129" i="2"/>
  <c r="T129" i="2"/>
  <c r="U129" i="2" s="1"/>
  <c r="V129" i="2" s="1"/>
  <c r="Z128" i="2" a="1"/>
  <c r="Z128" i="2" s="1"/>
  <c r="W128" i="2"/>
  <c r="T128" i="2"/>
  <c r="U128" i="2" s="1"/>
  <c r="Z127" i="2" a="1"/>
  <c r="Z127" i="2" s="1"/>
  <c r="W127" i="2"/>
  <c r="T127" i="2"/>
  <c r="Z126" i="2" a="1"/>
  <c r="Z126" i="2" s="1"/>
  <c r="W126" i="2"/>
  <c r="T126" i="2"/>
  <c r="Z125" i="2" a="1"/>
  <c r="Z125" i="2" s="1"/>
  <c r="W125" i="2"/>
  <c r="T125" i="2"/>
  <c r="U125" i="2" s="1"/>
  <c r="Z124" i="2" a="1"/>
  <c r="Z124" i="2" s="1"/>
  <c r="W124" i="2"/>
  <c r="T124" i="2"/>
  <c r="U124" i="2" s="1"/>
  <c r="V124" i="2" s="1"/>
  <c r="Z123" i="2" a="1"/>
  <c r="Z123" i="2" s="1"/>
  <c r="W123" i="2"/>
  <c r="T123" i="2"/>
  <c r="U123" i="2" s="1"/>
  <c r="Z122" i="2" a="1"/>
  <c r="Z122" i="2" s="1"/>
  <c r="W122" i="2"/>
  <c r="T122" i="2"/>
  <c r="Z121" i="2" a="1"/>
  <c r="Z121" i="2" s="1"/>
  <c r="W121" i="2"/>
  <c r="T121" i="2"/>
  <c r="U121" i="2" s="1"/>
  <c r="Z120" i="2" a="1"/>
  <c r="Z120" i="2" s="1"/>
  <c r="W120" i="2"/>
  <c r="T120" i="2"/>
  <c r="U120" i="2" s="1"/>
  <c r="V120" i="2" s="1"/>
  <c r="Z119" i="2" a="1"/>
  <c r="Z119" i="2" s="1"/>
  <c r="W119" i="2"/>
  <c r="T119" i="2"/>
  <c r="Z118" i="2" a="1"/>
  <c r="Z118" i="2" s="1"/>
  <c r="W118" i="2"/>
  <c r="T118" i="2"/>
  <c r="U118" i="2" s="1"/>
  <c r="Z117" i="2" a="1"/>
  <c r="Z117" i="2" s="1"/>
  <c r="W117" i="2"/>
  <c r="T117" i="2"/>
  <c r="U117" i="2" s="1"/>
  <c r="Z116" i="2" a="1"/>
  <c r="Z116" i="2" s="1"/>
  <c r="W116" i="2"/>
  <c r="T116" i="2"/>
  <c r="U116" i="2" s="1"/>
  <c r="V116" i="2" s="1"/>
  <c r="Z115" i="2" a="1"/>
  <c r="Z115" i="2" s="1"/>
  <c r="W115" i="2"/>
  <c r="T115" i="2"/>
  <c r="U115" i="2" s="1"/>
  <c r="Z114" i="2" a="1"/>
  <c r="Z114" i="2" s="1"/>
  <c r="W114" i="2"/>
  <c r="T114" i="2"/>
  <c r="U114" i="2" s="1"/>
  <c r="Z113" i="2" a="1"/>
  <c r="Z113" i="2" s="1"/>
  <c r="W113" i="2"/>
  <c r="T113" i="2"/>
  <c r="U113" i="2" s="1"/>
  <c r="V113" i="2" s="1"/>
  <c r="Z112" i="2" a="1"/>
  <c r="Z112" i="2" s="1"/>
  <c r="W112" i="2"/>
  <c r="T112" i="2"/>
  <c r="U112" i="2" s="1"/>
  <c r="Z111" i="2" a="1"/>
  <c r="Z111" i="2" s="1"/>
  <c r="W111" i="2"/>
  <c r="T111" i="2"/>
  <c r="Z110" i="2" a="1"/>
  <c r="Z110" i="2" s="1"/>
  <c r="W110" i="2"/>
  <c r="T110" i="2"/>
  <c r="U110" i="2" s="1"/>
  <c r="V110" i="2" s="1"/>
  <c r="Z109" i="2" a="1"/>
  <c r="Z109" i="2" s="1"/>
  <c r="W109" i="2"/>
  <c r="T109" i="2"/>
  <c r="Z108" i="2" a="1"/>
  <c r="Z108" i="2" s="1"/>
  <c r="W108" i="2"/>
  <c r="T108" i="2"/>
  <c r="U108" i="2" s="1"/>
  <c r="Z107" i="2" a="1"/>
  <c r="Z107" i="2" s="1"/>
  <c r="W107" i="2"/>
  <c r="T107" i="2"/>
  <c r="Z106" i="2" a="1"/>
  <c r="Z106" i="2"/>
  <c r="W106" i="2"/>
  <c r="T106" i="2"/>
  <c r="U106" i="2" s="1"/>
  <c r="Z105" i="2" a="1"/>
  <c r="Z105" i="2" s="1"/>
  <c r="W105" i="2"/>
  <c r="T105" i="2"/>
  <c r="Z104" i="2" a="1"/>
  <c r="Z104" i="2" s="1"/>
  <c r="W104" i="2"/>
  <c r="T104" i="2"/>
  <c r="Z103" i="2" a="1"/>
  <c r="Z103" i="2" s="1"/>
  <c r="W103" i="2"/>
  <c r="T103" i="2"/>
  <c r="U103" i="2" s="1"/>
  <c r="Z102" i="2" a="1"/>
  <c r="Z102" i="2" s="1"/>
  <c r="W102" i="2"/>
  <c r="T102" i="2"/>
  <c r="U102" i="2" s="1"/>
  <c r="Z101" i="2" a="1"/>
  <c r="Z101" i="2" s="1"/>
  <c r="W101" i="2"/>
  <c r="T101" i="2"/>
  <c r="Z100" i="2" a="1"/>
  <c r="Z100" i="2" s="1"/>
  <c r="W100" i="2"/>
  <c r="T100" i="2"/>
  <c r="U100" i="2" s="1"/>
  <c r="Z99" i="2" a="1"/>
  <c r="Z99" i="2" s="1"/>
  <c r="W99" i="2"/>
  <c r="T99" i="2"/>
  <c r="U99" i="2" s="1"/>
  <c r="Z98" i="2" a="1"/>
  <c r="Z98" i="2" s="1"/>
  <c r="W98" i="2"/>
  <c r="T98" i="2"/>
  <c r="Z97" i="2" a="1"/>
  <c r="Z97" i="2" s="1"/>
  <c r="W97" i="2"/>
  <c r="T97" i="2"/>
  <c r="U97" i="2" s="1"/>
  <c r="Z96" i="2" a="1"/>
  <c r="Z96" i="2" s="1"/>
  <c r="W96" i="2"/>
  <c r="T96" i="2"/>
  <c r="U96" i="2" s="1"/>
  <c r="V96" i="2" s="1"/>
  <c r="Z95" i="2" a="1"/>
  <c r="Z95" i="2" s="1"/>
  <c r="W95" i="2"/>
  <c r="T95" i="2"/>
  <c r="U95" i="2" s="1"/>
  <c r="Z94" i="2" a="1"/>
  <c r="Z94" i="2" s="1"/>
  <c r="W94" i="2"/>
  <c r="T94" i="2"/>
  <c r="Z93" i="2" a="1"/>
  <c r="Z93" i="2" s="1"/>
  <c r="W93" i="2"/>
  <c r="T93" i="2"/>
  <c r="Z92" i="2" a="1"/>
  <c r="Z92" i="2" s="1"/>
  <c r="W92" i="2"/>
  <c r="T92" i="2"/>
  <c r="U92" i="2" s="1"/>
  <c r="V92" i="2" s="1"/>
  <c r="Z91" i="2" a="1"/>
  <c r="Z91" i="2" s="1"/>
  <c r="W91" i="2"/>
  <c r="T91" i="2"/>
  <c r="U91" i="2" s="1"/>
  <c r="Z90" i="2" a="1"/>
  <c r="Z90" i="2" s="1"/>
  <c r="W90" i="2"/>
  <c r="T90" i="2"/>
  <c r="U90" i="2" s="1"/>
  <c r="Z89" i="2" a="1"/>
  <c r="Z89" i="2" s="1"/>
  <c r="W89" i="2"/>
  <c r="T89" i="2"/>
  <c r="U89" i="2" s="1"/>
  <c r="Z88" i="2" a="1"/>
  <c r="Z88" i="2" s="1"/>
  <c r="W88" i="2"/>
  <c r="T88" i="2"/>
  <c r="Z87" i="2" a="1"/>
  <c r="Z87" i="2" s="1"/>
  <c r="W87" i="2"/>
  <c r="T87" i="2"/>
  <c r="Z86" i="2" a="1"/>
  <c r="Z86" i="2" s="1"/>
  <c r="W86" i="2"/>
  <c r="T86" i="2"/>
  <c r="U86" i="2" s="1"/>
  <c r="V86" i="2" s="1"/>
  <c r="Z85" i="2" a="1"/>
  <c r="Z85" i="2" s="1"/>
  <c r="W85" i="2"/>
  <c r="T85" i="2"/>
  <c r="U85" i="2" s="1"/>
  <c r="Z84" i="2" a="1"/>
  <c r="Z84" i="2" s="1"/>
  <c r="W84" i="2"/>
  <c r="T84" i="2"/>
  <c r="U84" i="2" s="1"/>
  <c r="Z83" i="2" a="1"/>
  <c r="Z83" i="2" s="1"/>
  <c r="W83" i="2"/>
  <c r="T83" i="2"/>
  <c r="U83" i="2" s="1"/>
  <c r="V83" i="2" s="1"/>
  <c r="Z82" i="2" a="1"/>
  <c r="Z82" i="2" s="1"/>
  <c r="W82" i="2"/>
  <c r="T82" i="2"/>
  <c r="U82" i="2" s="1"/>
  <c r="Z81" i="2" a="1"/>
  <c r="Z81" i="2" s="1"/>
  <c r="W81" i="2"/>
  <c r="T81" i="2"/>
  <c r="U81" i="2" s="1"/>
  <c r="Z80" i="2" a="1"/>
  <c r="Z80" i="2" s="1"/>
  <c r="W80" i="2"/>
  <c r="T80" i="2"/>
  <c r="Z79" i="2" a="1"/>
  <c r="Z79" i="2" s="1"/>
  <c r="W79" i="2"/>
  <c r="T79" i="2"/>
  <c r="U79" i="2" s="1"/>
  <c r="V79" i="2" s="1"/>
  <c r="Z78" i="2" a="1"/>
  <c r="Z78" i="2" s="1"/>
  <c r="W78" i="2"/>
  <c r="T78" i="2"/>
  <c r="U78" i="2" s="1"/>
  <c r="Z77" i="2" a="1"/>
  <c r="Z77" i="2" s="1"/>
  <c r="W77" i="2"/>
  <c r="T77" i="2"/>
  <c r="U77" i="2" s="1"/>
  <c r="V77" i="2" s="1"/>
  <c r="Z76" i="2" a="1"/>
  <c r="Z76" i="2" s="1"/>
  <c r="W76" i="2"/>
  <c r="T76" i="2"/>
  <c r="U76" i="2" s="1"/>
  <c r="Z75" i="2" a="1"/>
  <c r="Z75" i="2" s="1"/>
  <c r="W75" i="2"/>
  <c r="T75" i="2"/>
  <c r="U75" i="2" s="1"/>
  <c r="Z74" i="2" a="1"/>
  <c r="Z74" i="2" s="1"/>
  <c r="W74" i="2"/>
  <c r="T74" i="2"/>
  <c r="U74" i="2" s="1"/>
  <c r="Z73" i="2" a="1"/>
  <c r="Z73" i="2" s="1"/>
  <c r="W73" i="2"/>
  <c r="T73" i="2"/>
  <c r="U73" i="2" s="1"/>
  <c r="Z72" i="2" a="1"/>
  <c r="Z72" i="2" s="1"/>
  <c r="W72" i="2"/>
  <c r="T72" i="2"/>
  <c r="Z71" i="2" a="1"/>
  <c r="Z71" i="2" s="1"/>
  <c r="W71" i="2"/>
  <c r="T71" i="2"/>
  <c r="Z70" i="2" a="1"/>
  <c r="Z70" i="2" s="1"/>
  <c r="W70" i="2"/>
  <c r="T70" i="2"/>
  <c r="U70" i="2" s="1"/>
  <c r="Z69" i="2" a="1"/>
  <c r="Z69" i="2" s="1"/>
  <c r="W69" i="2"/>
  <c r="T69" i="2"/>
  <c r="Z68" i="2" a="1"/>
  <c r="Z68" i="2" s="1"/>
  <c r="W68" i="2"/>
  <c r="T68" i="2"/>
  <c r="U68" i="2" s="1"/>
  <c r="V68" i="2" s="1"/>
  <c r="Z67" i="2" a="1"/>
  <c r="Z67" i="2" s="1"/>
  <c r="W67" i="2"/>
  <c r="T67" i="2"/>
  <c r="Z66" i="2" a="1"/>
  <c r="Z66" i="2" s="1"/>
  <c r="W66" i="2"/>
  <c r="T66" i="2"/>
  <c r="U66" i="2" s="1"/>
  <c r="Z65" i="2" a="1"/>
  <c r="Z65" i="2" s="1"/>
  <c r="W65" i="2"/>
  <c r="T65" i="2"/>
  <c r="Z64" i="2" a="1"/>
  <c r="Z64" i="2" s="1"/>
  <c r="W64" i="2"/>
  <c r="T64" i="2"/>
  <c r="U64" i="2" s="1"/>
  <c r="Z63" i="2" a="1"/>
  <c r="Z63" i="2" s="1"/>
  <c r="W63" i="2"/>
  <c r="T63" i="2"/>
  <c r="U63" i="2" s="1"/>
  <c r="Z62" i="2" a="1"/>
  <c r="Z62" i="2" s="1"/>
  <c r="W62" i="2"/>
  <c r="T62" i="2"/>
  <c r="U62" i="2" s="1"/>
  <c r="Z61" i="2" a="1"/>
  <c r="Z61" i="2" s="1"/>
  <c r="W61" i="2"/>
  <c r="T61" i="2"/>
  <c r="Z60" i="2" a="1"/>
  <c r="Z60" i="2" s="1"/>
  <c r="W60" i="2"/>
  <c r="T60" i="2"/>
  <c r="U60" i="2" s="1"/>
  <c r="Z59" i="2" a="1"/>
  <c r="Z59" i="2" s="1"/>
  <c r="W59" i="2"/>
  <c r="T59" i="2"/>
  <c r="Z58" i="2" a="1"/>
  <c r="Z58" i="2" s="1"/>
  <c r="W58" i="2"/>
  <c r="T58" i="2"/>
  <c r="Z57" i="2" a="1"/>
  <c r="Z57" i="2" s="1"/>
  <c r="W57" i="2"/>
  <c r="T57" i="2"/>
  <c r="U57" i="2" s="1"/>
  <c r="Z56" i="2" a="1"/>
  <c r="Z56" i="2" s="1"/>
  <c r="W56" i="2"/>
  <c r="T56" i="2"/>
  <c r="U56" i="2" s="1"/>
  <c r="V56" i="2" s="1"/>
  <c r="Z55" i="2" a="1"/>
  <c r="Z55" i="2" s="1"/>
  <c r="W55" i="2"/>
  <c r="T55" i="2"/>
  <c r="U55" i="2" s="1"/>
  <c r="V55" i="2" s="1"/>
  <c r="Z54" i="2" a="1"/>
  <c r="Z54" i="2" s="1"/>
  <c r="W54" i="2"/>
  <c r="T54" i="2"/>
  <c r="U54" i="2" s="1"/>
  <c r="Z53" i="2" a="1"/>
  <c r="Z53" i="2" s="1"/>
  <c r="W53" i="2"/>
  <c r="T53" i="2"/>
  <c r="L52" i="2"/>
  <c r="G52" i="2"/>
  <c r="Z52" i="2" s="1" a="1"/>
  <c r="Z52" i="2" s="1"/>
  <c r="Z51" i="2" a="1"/>
  <c r="Z51" i="2" s="1"/>
  <c r="W51" i="2"/>
  <c r="T51" i="2"/>
  <c r="U51" i="2" s="1"/>
  <c r="Z50" i="2" a="1"/>
  <c r="Z50" i="2" s="1"/>
  <c r="W50" i="2"/>
  <c r="T50" i="2"/>
  <c r="U50" i="2" s="1"/>
  <c r="Z49" i="2" a="1"/>
  <c r="Z49" i="2" s="1"/>
  <c r="W49" i="2"/>
  <c r="T49" i="2"/>
  <c r="Z48" i="2" a="1"/>
  <c r="Z48" i="2" s="1"/>
  <c r="W48" i="2"/>
  <c r="T48" i="2"/>
  <c r="U48" i="2" s="1"/>
  <c r="V48" i="2" s="1"/>
  <c r="Z47" i="2" a="1"/>
  <c r="Z47" i="2" s="1"/>
  <c r="W47" i="2"/>
  <c r="T47" i="2"/>
  <c r="Z46" i="2" a="1"/>
  <c r="Z46" i="2" s="1"/>
  <c r="W46" i="2"/>
  <c r="T46" i="2"/>
  <c r="Z45" i="2" a="1"/>
  <c r="Z45" i="2" s="1"/>
  <c r="W45" i="2"/>
  <c r="T45" i="2"/>
  <c r="U45" i="2" s="1"/>
  <c r="V45" i="2" s="1"/>
  <c r="Z44" i="2" a="1"/>
  <c r="Z44" i="2" s="1"/>
  <c r="W44" i="2"/>
  <c r="T44" i="2"/>
  <c r="U44" i="2" s="1"/>
  <c r="Z43" i="2" a="1"/>
  <c r="Z43" i="2" s="1"/>
  <c r="W43" i="2"/>
  <c r="T43" i="2"/>
  <c r="Z42" i="2" a="1"/>
  <c r="Z42" i="2" s="1"/>
  <c r="W42" i="2"/>
  <c r="T42" i="2"/>
  <c r="U42" i="2" s="1"/>
  <c r="Z41" i="2" a="1"/>
  <c r="Z41" i="2" s="1"/>
  <c r="W41" i="2"/>
  <c r="T41" i="2"/>
  <c r="Z40" i="2" a="1"/>
  <c r="Z40" i="2" s="1"/>
  <c r="W40" i="2"/>
  <c r="T40" i="2"/>
  <c r="U40" i="2" s="1"/>
  <c r="Z39" i="2" a="1"/>
  <c r="Z39" i="2" s="1"/>
  <c r="W39" i="2"/>
  <c r="T39" i="2"/>
  <c r="U39" i="2" s="1"/>
  <c r="Z38" i="2" a="1"/>
  <c r="Z38" i="2" s="1"/>
  <c r="W38" i="2"/>
  <c r="T38" i="2"/>
  <c r="Z37" i="2" a="1"/>
  <c r="Z37" i="2" s="1"/>
  <c r="W37" i="2"/>
  <c r="T37" i="2"/>
  <c r="U37" i="2" s="1"/>
  <c r="Z36" i="2" a="1"/>
  <c r="Z36" i="2" s="1"/>
  <c r="W36" i="2"/>
  <c r="T36" i="2"/>
  <c r="U36" i="2" s="1"/>
  <c r="V36" i="2" s="1"/>
  <c r="Z35" i="2" a="1"/>
  <c r="Z35" i="2" s="1"/>
  <c r="W35" i="2"/>
  <c r="T35" i="2"/>
  <c r="U35" i="2" s="1"/>
  <c r="Z34" i="2" a="1"/>
  <c r="Z34" i="2" s="1"/>
  <c r="W34" i="2"/>
  <c r="T34" i="2"/>
  <c r="Z33" i="2" a="1"/>
  <c r="Z33" i="2" s="1"/>
  <c r="W33" i="2"/>
  <c r="T33" i="2"/>
  <c r="Z32" i="2" a="1"/>
  <c r="Z32" i="2" s="1"/>
  <c r="W32" i="2"/>
  <c r="T32" i="2"/>
  <c r="L31" i="2"/>
  <c r="G31" i="2"/>
  <c r="Z30" i="2" a="1"/>
  <c r="Z30" i="2" s="1"/>
  <c r="W30" i="2"/>
  <c r="T30" i="2"/>
  <c r="U30" i="2" s="1"/>
  <c r="Z29" i="2" a="1"/>
  <c r="Z29" i="2" s="1"/>
  <c r="W29" i="2"/>
  <c r="T29" i="2"/>
  <c r="Z28" i="2" a="1"/>
  <c r="Z28" i="2" s="1"/>
  <c r="W28" i="2"/>
  <c r="T28" i="2"/>
  <c r="U28" i="2" s="1"/>
  <c r="V28" i="2" s="1"/>
  <c r="Z27" i="2" a="1"/>
  <c r="Z27" i="2" s="1"/>
  <c r="W27" i="2"/>
  <c r="T27" i="2"/>
  <c r="Z26" i="2" a="1"/>
  <c r="Z26" i="2" s="1"/>
  <c r="W26" i="2"/>
  <c r="T26" i="2"/>
  <c r="U26" i="2" s="1"/>
  <c r="Z25" i="2" a="1"/>
  <c r="Z25" i="2" s="1"/>
  <c r="W25" i="2"/>
  <c r="T25" i="2"/>
  <c r="U25" i="2" s="1"/>
  <c r="V25" i="2" s="1"/>
  <c r="Z24" i="2" a="1"/>
  <c r="Z24" i="2" s="1"/>
  <c r="W24" i="2"/>
  <c r="T24" i="2"/>
  <c r="Z23" i="2" a="1"/>
  <c r="Z23" i="2" s="1"/>
  <c r="W23" i="2"/>
  <c r="T23" i="2"/>
  <c r="Z22" i="2" a="1"/>
  <c r="Z22" i="2" s="1"/>
  <c r="W22" i="2"/>
  <c r="T22" i="2"/>
  <c r="Z21" i="2" a="1"/>
  <c r="Z21" i="2" s="1"/>
  <c r="W21" i="2"/>
  <c r="T21" i="2"/>
  <c r="Z20" i="2" a="1"/>
  <c r="Z20" i="2" s="1"/>
  <c r="W20" i="2"/>
  <c r="T20" i="2"/>
  <c r="U20" i="2" s="1"/>
  <c r="Z19" i="2" a="1"/>
  <c r="Z19" i="2" s="1"/>
  <c r="W19" i="2"/>
  <c r="T19" i="2"/>
  <c r="U19" i="2" s="1"/>
  <c r="Z18" i="2" a="1"/>
  <c r="Z18" i="2" s="1"/>
  <c r="W18" i="2"/>
  <c r="T18" i="2"/>
  <c r="Z17" i="2" a="1"/>
  <c r="Z17" i="2" s="1"/>
  <c r="W17" i="2"/>
  <c r="T17" i="2"/>
  <c r="U17" i="2" s="1"/>
  <c r="V17" i="2" s="1"/>
  <c r="Z16" i="2" a="1"/>
  <c r="Z16" i="2" s="1"/>
  <c r="W16" i="2"/>
  <c r="T16" i="2"/>
  <c r="Z15" i="2" a="1"/>
  <c r="Z15" i="2" s="1"/>
  <c r="W15" i="2"/>
  <c r="T15" i="2"/>
  <c r="U15" i="2" s="1"/>
  <c r="Z14" i="2" a="1"/>
  <c r="Z14" i="2" s="1"/>
  <c r="W14" i="2"/>
  <c r="T14" i="2"/>
  <c r="U14" i="2" s="1"/>
  <c r="V14" i="2" s="1"/>
  <c r="Z13" i="2" a="1"/>
  <c r="Z13" i="2" s="1"/>
  <c r="W13" i="2"/>
  <c r="T13" i="2"/>
  <c r="U13" i="2" s="1"/>
  <c r="Z12" i="2" a="1"/>
  <c r="Z12" i="2" s="1"/>
  <c r="W12" i="2"/>
  <c r="T12" i="2"/>
  <c r="Z11" i="2" a="1"/>
  <c r="Z11" i="2" s="1"/>
  <c r="W11" i="2"/>
  <c r="T11" i="2"/>
  <c r="U11" i="2" s="1"/>
  <c r="L9" i="2"/>
  <c r="L8" i="2"/>
  <c r="D6" i="2"/>
  <c r="I5" i="2"/>
  <c r="AH6" i="2"/>
  <c r="AH5" i="2"/>
  <c r="AH4" i="2"/>
  <c r="AH3" i="2"/>
  <c r="AB2" i="2"/>
  <c r="AH2" i="2"/>
  <c r="AE155" i="1"/>
  <c r="AE154" i="1"/>
  <c r="AE153" i="1"/>
  <c r="R153" i="1"/>
  <c r="AE152" i="1"/>
  <c r="AE151" i="1"/>
  <c r="AE150" i="1"/>
  <c r="G149" i="1"/>
  <c r="L146" i="1"/>
  <c r="G146" i="1"/>
  <c r="AI145" i="1"/>
  <c r="Q145" i="1"/>
  <c r="L145" i="1"/>
  <c r="AE145" i="1" s="1"/>
  <c r="G145" i="1"/>
  <c r="AI144" i="1"/>
  <c r="AE144" i="1"/>
  <c r="Z144" i="1" a="1"/>
  <c r="Z144" i="1" s="1"/>
  <c r="K144" i="1" s="1"/>
  <c r="W144" i="1"/>
  <c r="U144" i="1"/>
  <c r="T144" i="1"/>
  <c r="V144" i="1" s="1"/>
  <c r="AI143" i="1"/>
  <c r="AE143" i="1"/>
  <c r="Z143" i="1" a="1"/>
  <c r="Z143" i="1"/>
  <c r="W143" i="1"/>
  <c r="T143" i="1"/>
  <c r="U143" i="1" s="1"/>
  <c r="V143" i="1" s="1"/>
  <c r="AI142" i="1"/>
  <c r="AE142" i="1"/>
  <c r="Z142" i="1" a="1"/>
  <c r="Z142" i="1" s="1"/>
  <c r="W142" i="1"/>
  <c r="T142" i="1"/>
  <c r="AI141" i="1"/>
  <c r="AE141" i="1"/>
  <c r="Z141" i="1" a="1"/>
  <c r="Z141" i="1" s="1"/>
  <c r="W141" i="1"/>
  <c r="U141" i="1"/>
  <c r="V141" i="1" s="1"/>
  <c r="T141" i="1"/>
  <c r="AI140" i="1"/>
  <c r="AE140" i="1"/>
  <c r="Z140" i="1" a="1"/>
  <c r="Z140" i="1"/>
  <c r="W140" i="1"/>
  <c r="V140" i="1"/>
  <c r="U140" i="1"/>
  <c r="T140" i="1"/>
  <c r="AI139" i="1"/>
  <c r="AE139" i="1"/>
  <c r="Z139" i="1" a="1"/>
  <c r="Z139" i="1"/>
  <c r="W139" i="1"/>
  <c r="V139" i="1"/>
  <c r="U139" i="1"/>
  <c r="T139" i="1"/>
  <c r="AI138" i="1"/>
  <c r="AE138" i="1"/>
  <c r="Z138" i="1" a="1"/>
  <c r="Z138" i="1"/>
  <c r="W138" i="1"/>
  <c r="U138" i="1"/>
  <c r="T138" i="1"/>
  <c r="AI137" i="1"/>
  <c r="AE137" i="1"/>
  <c r="Z137" i="1" a="1"/>
  <c r="Z137" i="1"/>
  <c r="W137" i="1"/>
  <c r="U137" i="1"/>
  <c r="T137" i="1"/>
  <c r="AI136" i="1"/>
  <c r="AE136" i="1"/>
  <c r="Z136" i="1" a="1"/>
  <c r="Z136" i="1" s="1"/>
  <c r="W136" i="1"/>
  <c r="T136" i="1"/>
  <c r="AI135" i="1"/>
  <c r="AE135" i="1"/>
  <c r="Z135" i="1" a="1"/>
  <c r="Z135" i="1" s="1"/>
  <c r="W135" i="1"/>
  <c r="U135" i="1"/>
  <c r="T135" i="1"/>
  <c r="AI134" i="1"/>
  <c r="AE134" i="1"/>
  <c r="Z134" i="1" a="1"/>
  <c r="Z134" i="1" s="1"/>
  <c r="W134" i="1"/>
  <c r="T134" i="1"/>
  <c r="AI133" i="1"/>
  <c r="AE133" i="1"/>
  <c r="Z133" i="1" a="1"/>
  <c r="Z133" i="1"/>
  <c r="W133" i="1"/>
  <c r="U133" i="1"/>
  <c r="T133" i="1"/>
  <c r="AI132" i="1"/>
  <c r="AE132" i="1"/>
  <c r="Z132" i="1" a="1"/>
  <c r="Z132" i="1" s="1"/>
  <c r="W132" i="1"/>
  <c r="T132" i="1"/>
  <c r="U132" i="1" s="1"/>
  <c r="V132" i="1" s="1"/>
  <c r="AI131" i="1"/>
  <c r="AE131" i="1"/>
  <c r="Z131" i="1" a="1"/>
  <c r="Z131" i="1" s="1"/>
  <c r="K131" i="1" s="1"/>
  <c r="W131" i="1"/>
  <c r="U131" i="1"/>
  <c r="V131" i="1" s="1"/>
  <c r="T131" i="1"/>
  <c r="AI130" i="1"/>
  <c r="AE130" i="1"/>
  <c r="Z130" i="1" a="1"/>
  <c r="Z130" i="1"/>
  <c r="W130" i="1"/>
  <c r="T130" i="1"/>
  <c r="AI129" i="1"/>
  <c r="AE129" i="1"/>
  <c r="Z129" i="1" a="1"/>
  <c r="Z129" i="1"/>
  <c r="W129" i="1"/>
  <c r="V129" i="1"/>
  <c r="U129" i="1"/>
  <c r="T129" i="1"/>
  <c r="AI128" i="1"/>
  <c r="AE128" i="1"/>
  <c r="Z128" i="1" a="1"/>
  <c r="Z128" i="1"/>
  <c r="W128" i="1"/>
  <c r="V128" i="1"/>
  <c r="U128" i="1"/>
  <c r="T128" i="1"/>
  <c r="AI127" i="1"/>
  <c r="AE127" i="1"/>
  <c r="Z127" i="1" a="1"/>
  <c r="Z127" i="1"/>
  <c r="W127" i="1"/>
  <c r="T127" i="1"/>
  <c r="AI126" i="1"/>
  <c r="AE126" i="1"/>
  <c r="Z126" i="1" a="1"/>
  <c r="Z126" i="1"/>
  <c r="W126" i="1"/>
  <c r="V126" i="1"/>
  <c r="T126" i="1"/>
  <c r="U126" i="1" s="1"/>
  <c r="AI125" i="1"/>
  <c r="AE125" i="1"/>
  <c r="Z125" i="1" a="1"/>
  <c r="Z125" i="1" s="1"/>
  <c r="W125" i="1"/>
  <c r="T125" i="1"/>
  <c r="AI124" i="1"/>
  <c r="AE124" i="1"/>
  <c r="Z124" i="1" a="1"/>
  <c r="Z124" i="1" s="1"/>
  <c r="W124" i="1"/>
  <c r="V124" i="1"/>
  <c r="U124" i="1"/>
  <c r="T124" i="1"/>
  <c r="M124" i="1"/>
  <c r="O124" i="1" s="1"/>
  <c r="K124" i="1"/>
  <c r="X124" i="1" s="1"/>
  <c r="Y124" i="1" s="1"/>
  <c r="AI123" i="1"/>
  <c r="AE123" i="1"/>
  <c r="Z123" i="1" a="1"/>
  <c r="Z123" i="1" s="1"/>
  <c r="W123" i="1"/>
  <c r="U123" i="1"/>
  <c r="V123" i="1" s="1"/>
  <c r="T123" i="1"/>
  <c r="AI122" i="1"/>
  <c r="AE122" i="1"/>
  <c r="Z122" i="1" a="1"/>
  <c r="Z122" i="1" s="1"/>
  <c r="W122" i="1"/>
  <c r="T122" i="1"/>
  <c r="AI121" i="1"/>
  <c r="AE121" i="1"/>
  <c r="Z121" i="1" a="1"/>
  <c r="Z121" i="1" s="1"/>
  <c r="W121" i="1"/>
  <c r="T121" i="1"/>
  <c r="AI120" i="1"/>
  <c r="AE120" i="1"/>
  <c r="Z120" i="1" a="1"/>
  <c r="Z120" i="1" s="1"/>
  <c r="W120" i="1"/>
  <c r="U120" i="1"/>
  <c r="V120" i="1" s="1"/>
  <c r="T120" i="1"/>
  <c r="AI119" i="1"/>
  <c r="AE119" i="1"/>
  <c r="Z119" i="1" a="1"/>
  <c r="Z119" i="1"/>
  <c r="W119" i="1"/>
  <c r="V119" i="1"/>
  <c r="U119" i="1"/>
  <c r="T119" i="1"/>
  <c r="AI118" i="1"/>
  <c r="AE118" i="1"/>
  <c r="Z118" i="1" a="1"/>
  <c r="Z118" i="1"/>
  <c r="W118" i="1"/>
  <c r="T118" i="1"/>
  <c r="AI117" i="1"/>
  <c r="AE117" i="1"/>
  <c r="Z117" i="1" a="1"/>
  <c r="Z117" i="1"/>
  <c r="K117" i="1" s="1"/>
  <c r="W117" i="1"/>
  <c r="V117" i="1"/>
  <c r="U117" i="1"/>
  <c r="T117" i="1"/>
  <c r="AI116" i="1"/>
  <c r="AE116" i="1"/>
  <c r="Z116" i="1" a="1"/>
  <c r="Z116" i="1"/>
  <c r="W116" i="1"/>
  <c r="T116" i="1"/>
  <c r="AI115" i="1"/>
  <c r="AE115" i="1"/>
  <c r="Z115" i="1" a="1"/>
  <c r="Z115" i="1" s="1"/>
  <c r="W115" i="1"/>
  <c r="T115" i="1"/>
  <c r="AI114" i="1"/>
  <c r="AE114" i="1"/>
  <c r="Z114" i="1" a="1"/>
  <c r="Z114" i="1"/>
  <c r="W114" i="1"/>
  <c r="U114" i="1"/>
  <c r="V114" i="1" s="1"/>
  <c r="T114" i="1"/>
  <c r="AI113" i="1"/>
  <c r="AE113" i="1"/>
  <c r="Z113" i="1" a="1"/>
  <c r="Z113" i="1"/>
  <c r="W113" i="1"/>
  <c r="U113" i="1"/>
  <c r="V113" i="1" s="1"/>
  <c r="T113" i="1"/>
  <c r="AI112" i="1"/>
  <c r="AE112" i="1"/>
  <c r="Z112" i="1" a="1"/>
  <c r="Z112" i="1"/>
  <c r="W112" i="1"/>
  <c r="V112" i="1"/>
  <c r="U112" i="1"/>
  <c r="T112" i="1"/>
  <c r="AI111" i="1"/>
  <c r="AE111" i="1"/>
  <c r="Z111" i="1" a="1"/>
  <c r="Z111" i="1" s="1"/>
  <c r="W111" i="1"/>
  <c r="T111" i="1"/>
  <c r="AI110" i="1"/>
  <c r="AE110" i="1"/>
  <c r="Z110" i="1" a="1"/>
  <c r="Z110" i="1" s="1"/>
  <c r="W110" i="1"/>
  <c r="V110" i="1"/>
  <c r="U110" i="1"/>
  <c r="T110" i="1"/>
  <c r="AI109" i="1"/>
  <c r="AE109" i="1"/>
  <c r="Z109" i="1" a="1"/>
  <c r="Z109" i="1"/>
  <c r="W109" i="1"/>
  <c r="T109" i="1"/>
  <c r="AI108" i="1"/>
  <c r="AE108" i="1"/>
  <c r="Z108" i="1" a="1"/>
  <c r="Z108" i="1"/>
  <c r="W108" i="1"/>
  <c r="V108" i="1"/>
  <c r="U108" i="1"/>
  <c r="T108" i="1"/>
  <c r="AI107" i="1"/>
  <c r="AE107" i="1"/>
  <c r="Z107" i="1" a="1"/>
  <c r="Z107" i="1" s="1"/>
  <c r="W107" i="1"/>
  <c r="T107" i="1"/>
  <c r="AI106" i="1"/>
  <c r="AE106" i="1"/>
  <c r="Z106" i="1" a="1"/>
  <c r="Z106" i="1"/>
  <c r="W106" i="1"/>
  <c r="T106" i="1"/>
  <c r="AI105" i="1"/>
  <c r="AE105" i="1"/>
  <c r="Z105" i="1" a="1"/>
  <c r="Z105" i="1" s="1"/>
  <c r="W105" i="1"/>
  <c r="T105" i="1"/>
  <c r="U105" i="1" s="1"/>
  <c r="AI104" i="1"/>
  <c r="AE104" i="1"/>
  <c r="Z104" i="1" a="1"/>
  <c r="Z104" i="1"/>
  <c r="W104" i="1"/>
  <c r="T104" i="1"/>
  <c r="AI103" i="1"/>
  <c r="AE103" i="1"/>
  <c r="Z103" i="1" a="1"/>
  <c r="Z103" i="1" s="1"/>
  <c r="K103" i="1" s="1"/>
  <c r="W103" i="1"/>
  <c r="V103" i="1"/>
  <c r="U103" i="1"/>
  <c r="T103" i="1"/>
  <c r="AI102" i="1"/>
  <c r="AE102" i="1"/>
  <c r="Z102" i="1" a="1"/>
  <c r="Z102" i="1" s="1"/>
  <c r="W102" i="1"/>
  <c r="T102" i="1"/>
  <c r="AI101" i="1"/>
  <c r="AE101" i="1"/>
  <c r="Z101" i="1" a="1"/>
  <c r="Z101" i="1" s="1"/>
  <c r="W101" i="1"/>
  <c r="V101" i="1"/>
  <c r="T101" i="1"/>
  <c r="U101" i="1" s="1"/>
  <c r="AI100" i="1"/>
  <c r="AE100" i="1"/>
  <c r="Z100" i="1" a="1"/>
  <c r="Z100" i="1"/>
  <c r="W100" i="1"/>
  <c r="V100" i="1"/>
  <c r="T100" i="1"/>
  <c r="U100" i="1" s="1"/>
  <c r="AI99" i="1"/>
  <c r="AE99" i="1"/>
  <c r="Z99" i="1" a="1"/>
  <c r="Z99" i="1"/>
  <c r="W99" i="1"/>
  <c r="V99" i="1"/>
  <c r="U99" i="1"/>
  <c r="T99" i="1"/>
  <c r="K99" i="1"/>
  <c r="AI98" i="1"/>
  <c r="AE98" i="1"/>
  <c r="Z98" i="1" a="1"/>
  <c r="Z98" i="1"/>
  <c r="W98" i="1"/>
  <c r="V98" i="1"/>
  <c r="U98" i="1"/>
  <c r="T98" i="1"/>
  <c r="K98" i="1"/>
  <c r="X98" i="1" s="1"/>
  <c r="Y98" i="1" s="1"/>
  <c r="AI97" i="1"/>
  <c r="AE97" i="1"/>
  <c r="Z97" i="1" a="1"/>
  <c r="Z97" i="1"/>
  <c r="W97" i="1"/>
  <c r="T97" i="1"/>
  <c r="AI96" i="1"/>
  <c r="AE96" i="1"/>
  <c r="Z96" i="1" a="1"/>
  <c r="Z96" i="1" s="1"/>
  <c r="W96" i="1"/>
  <c r="U96" i="1"/>
  <c r="T96" i="1"/>
  <c r="AI95" i="1"/>
  <c r="AE95" i="1"/>
  <c r="Z95" i="1" a="1"/>
  <c r="Z95" i="1"/>
  <c r="W95" i="1"/>
  <c r="T95" i="1"/>
  <c r="AI94" i="1"/>
  <c r="AE94" i="1"/>
  <c r="Z94" i="1" a="1"/>
  <c r="Z94" i="1" s="1"/>
  <c r="K94" i="1" s="1"/>
  <c r="W94" i="1"/>
  <c r="V94" i="1"/>
  <c r="U94" i="1"/>
  <c r="T94" i="1"/>
  <c r="AI93" i="1"/>
  <c r="AE93" i="1"/>
  <c r="Z93" i="1" a="1"/>
  <c r="Z93" i="1" s="1"/>
  <c r="W93" i="1"/>
  <c r="T93" i="1"/>
  <c r="AI92" i="1"/>
  <c r="AE92" i="1"/>
  <c r="Z92" i="1" a="1"/>
  <c r="Z92" i="1"/>
  <c r="W92" i="1"/>
  <c r="U92" i="1"/>
  <c r="V92" i="1" s="1"/>
  <c r="T92" i="1"/>
  <c r="AI91" i="1"/>
  <c r="AE91" i="1"/>
  <c r="Z91" i="1" a="1"/>
  <c r="Z91" i="1" s="1"/>
  <c r="W91" i="1"/>
  <c r="T91" i="1"/>
  <c r="AI90" i="1"/>
  <c r="AE90" i="1"/>
  <c r="Z90" i="1" a="1"/>
  <c r="Z90" i="1"/>
  <c r="W90" i="1"/>
  <c r="T90" i="1"/>
  <c r="U90" i="1" s="1"/>
  <c r="V90" i="1" s="1"/>
  <c r="AI89" i="1"/>
  <c r="AE89" i="1"/>
  <c r="Z89" i="1" a="1"/>
  <c r="Z89" i="1"/>
  <c r="W89" i="1"/>
  <c r="T89" i="1"/>
  <c r="AI88" i="1"/>
  <c r="AE88" i="1"/>
  <c r="Z88" i="1" a="1"/>
  <c r="Z88" i="1" s="1"/>
  <c r="W88" i="1"/>
  <c r="U88" i="1"/>
  <c r="V88" i="1" s="1"/>
  <c r="T88" i="1"/>
  <c r="AI87" i="1"/>
  <c r="AE87" i="1"/>
  <c r="Z87" i="1" a="1"/>
  <c r="Z87" i="1"/>
  <c r="W87" i="1"/>
  <c r="U87" i="1"/>
  <c r="V87" i="1" s="1"/>
  <c r="T87" i="1"/>
  <c r="AI86" i="1"/>
  <c r="AE86" i="1"/>
  <c r="Z86" i="1" a="1"/>
  <c r="Z86" i="1"/>
  <c r="W86" i="1"/>
  <c r="T86" i="1"/>
  <c r="U86" i="1" s="1"/>
  <c r="AI85" i="1"/>
  <c r="AE85" i="1"/>
  <c r="Z85" i="1" a="1"/>
  <c r="Z85" i="1"/>
  <c r="W85" i="1"/>
  <c r="T85" i="1"/>
  <c r="U85" i="1" s="1"/>
  <c r="V85" i="1" s="1"/>
  <c r="AI84" i="1"/>
  <c r="AE84" i="1"/>
  <c r="Z84" i="1" a="1"/>
  <c r="Z84" i="1"/>
  <c r="K84" i="1" s="1"/>
  <c r="W84" i="1"/>
  <c r="U84" i="1"/>
  <c r="T84" i="1"/>
  <c r="V84" i="1" s="1"/>
  <c r="AI83" i="1"/>
  <c r="AE83" i="1"/>
  <c r="Z83" i="1" a="1"/>
  <c r="Z83" i="1" s="1"/>
  <c r="W83" i="1"/>
  <c r="T83" i="1"/>
  <c r="AI82" i="1"/>
  <c r="AE82" i="1"/>
  <c r="Z82" i="1" a="1"/>
  <c r="Z82" i="1"/>
  <c r="K82" i="1" s="1"/>
  <c r="X82" i="1" s="1"/>
  <c r="Y82" i="1" s="1"/>
  <c r="W82" i="1"/>
  <c r="U82" i="1"/>
  <c r="V82" i="1" s="1"/>
  <c r="T82" i="1"/>
  <c r="M82" i="1"/>
  <c r="N82" i="1" s="1"/>
  <c r="AI81" i="1"/>
  <c r="AE81" i="1"/>
  <c r="Z81" i="1" a="1"/>
  <c r="Z81" i="1"/>
  <c r="W81" i="1"/>
  <c r="V81" i="1"/>
  <c r="U81" i="1"/>
  <c r="T81" i="1"/>
  <c r="AI80" i="1"/>
  <c r="AE80" i="1"/>
  <c r="Z80" i="1" a="1"/>
  <c r="Z80" i="1"/>
  <c r="K80" i="1" s="1"/>
  <c r="W80" i="1"/>
  <c r="T80" i="1"/>
  <c r="U80" i="1" s="1"/>
  <c r="V80" i="1" s="1"/>
  <c r="AI79" i="1"/>
  <c r="AE79" i="1"/>
  <c r="Z79" i="1" a="1"/>
  <c r="Z79" i="1" s="1"/>
  <c r="W79" i="1"/>
  <c r="T79" i="1"/>
  <c r="AI78" i="1"/>
  <c r="AE78" i="1"/>
  <c r="Z78" i="1" a="1"/>
  <c r="Z78" i="1"/>
  <c r="K78" i="1" s="1"/>
  <c r="M78" i="1" s="1"/>
  <c r="O78" i="1" s="1"/>
  <c r="X78" i="1"/>
  <c r="Y78" i="1" s="1"/>
  <c r="W78" i="1"/>
  <c r="U78" i="1"/>
  <c r="V78" i="1" s="1"/>
  <c r="T78" i="1"/>
  <c r="AI77" i="1"/>
  <c r="AE77" i="1"/>
  <c r="Z77" i="1" a="1"/>
  <c r="Z77" i="1" s="1"/>
  <c r="W77" i="1"/>
  <c r="U77" i="1"/>
  <c r="V77" i="1" s="1"/>
  <c r="K77" i="1" s="1"/>
  <c r="T77" i="1"/>
  <c r="AI76" i="1"/>
  <c r="AE76" i="1"/>
  <c r="Z76" i="1" a="1"/>
  <c r="Z76" i="1" s="1"/>
  <c r="W76" i="1"/>
  <c r="T76" i="1"/>
  <c r="AI75" i="1"/>
  <c r="AE75" i="1"/>
  <c r="Z75" i="1" a="1"/>
  <c r="Z75" i="1"/>
  <c r="W75" i="1"/>
  <c r="T75" i="1"/>
  <c r="AI74" i="1"/>
  <c r="AE74" i="1"/>
  <c r="Z74" i="1" a="1"/>
  <c r="Z74" i="1" s="1"/>
  <c r="K74" i="1" s="1"/>
  <c r="W74" i="1"/>
  <c r="V74" i="1"/>
  <c r="T74" i="1"/>
  <c r="U74" i="1" s="1"/>
  <c r="AI73" i="1"/>
  <c r="AE73" i="1"/>
  <c r="Z73" i="1" a="1"/>
  <c r="Z73" i="1" s="1"/>
  <c r="W73" i="1"/>
  <c r="V73" i="1"/>
  <c r="U73" i="1"/>
  <c r="T73" i="1"/>
  <c r="K73" i="1"/>
  <c r="AI72" i="1"/>
  <c r="AE72" i="1"/>
  <c r="Z72" i="1" a="1"/>
  <c r="Z72" i="1"/>
  <c r="W72" i="1"/>
  <c r="T72" i="1"/>
  <c r="AI71" i="1"/>
  <c r="AE71" i="1"/>
  <c r="Z71" i="1" a="1"/>
  <c r="Z71" i="1"/>
  <c r="W71" i="1"/>
  <c r="T71" i="1"/>
  <c r="U71" i="1" s="1"/>
  <c r="AI70" i="1"/>
  <c r="AE70" i="1"/>
  <c r="Z70" i="1" a="1"/>
  <c r="Z70" i="1"/>
  <c r="W70" i="1"/>
  <c r="U70" i="1"/>
  <c r="V70" i="1" s="1"/>
  <c r="T70" i="1"/>
  <c r="AI69" i="1"/>
  <c r="AE69" i="1"/>
  <c r="Z69" i="1" a="1"/>
  <c r="Z69" i="1"/>
  <c r="W69" i="1"/>
  <c r="T69" i="1"/>
  <c r="U69" i="1" s="1"/>
  <c r="V69" i="1" s="1"/>
  <c r="K69" i="1"/>
  <c r="X69" i="1" s="1"/>
  <c r="Y69" i="1" s="1"/>
  <c r="AI68" i="1"/>
  <c r="AE68" i="1"/>
  <c r="Z68" i="1" a="1"/>
  <c r="Z68" i="1" s="1"/>
  <c r="W68" i="1"/>
  <c r="T68" i="1"/>
  <c r="AI67" i="1"/>
  <c r="AE67" i="1"/>
  <c r="Z67" i="1" a="1"/>
  <c r="Z67" i="1" s="1"/>
  <c r="W67" i="1"/>
  <c r="T67" i="1"/>
  <c r="U67" i="1" s="1"/>
  <c r="AI66" i="1"/>
  <c r="AE66" i="1"/>
  <c r="Z66" i="1" a="1"/>
  <c r="Z66" i="1"/>
  <c r="W66" i="1"/>
  <c r="T66" i="1"/>
  <c r="U66" i="1" s="1"/>
  <c r="V66" i="1" s="1"/>
  <c r="AI65" i="1"/>
  <c r="AE65" i="1"/>
  <c r="Z65" i="1" a="1"/>
  <c r="Z65" i="1"/>
  <c r="K65" i="1" s="1"/>
  <c r="W65" i="1"/>
  <c r="U65" i="1"/>
  <c r="T65" i="1"/>
  <c r="V65" i="1" s="1"/>
  <c r="AI64" i="1"/>
  <c r="AE64" i="1"/>
  <c r="Z64" i="1" a="1"/>
  <c r="Z64" i="1" s="1"/>
  <c r="W64" i="1"/>
  <c r="U64" i="1"/>
  <c r="T64" i="1"/>
  <c r="V64" i="1" s="1"/>
  <c r="AI63" i="1"/>
  <c r="AE63" i="1"/>
  <c r="Z63" i="1" a="1"/>
  <c r="Z63" i="1"/>
  <c r="W63" i="1"/>
  <c r="T63" i="1"/>
  <c r="AI62" i="1"/>
  <c r="AE62" i="1"/>
  <c r="Z62" i="1" a="1"/>
  <c r="Z62" i="1" s="1"/>
  <c r="W62" i="1"/>
  <c r="T62" i="1"/>
  <c r="AI61" i="1"/>
  <c r="AE61" i="1"/>
  <c r="Z61" i="1" a="1"/>
  <c r="Z61" i="1"/>
  <c r="W61" i="1"/>
  <c r="T61" i="1"/>
  <c r="U61" i="1" s="1"/>
  <c r="AI60" i="1"/>
  <c r="AE60" i="1"/>
  <c r="Z60" i="1" a="1"/>
  <c r="Z60" i="1"/>
  <c r="W60" i="1"/>
  <c r="T60" i="1"/>
  <c r="AI59" i="1"/>
  <c r="AE59" i="1"/>
  <c r="Z59" i="1" a="1"/>
  <c r="Z59" i="1" s="1"/>
  <c r="K59" i="1" s="1"/>
  <c r="M59" i="1" s="1"/>
  <c r="W59" i="1"/>
  <c r="V59" i="1"/>
  <c r="U59" i="1"/>
  <c r="T59" i="1"/>
  <c r="AI58" i="1"/>
  <c r="AE58" i="1"/>
  <c r="Z58" i="1" a="1"/>
  <c r="Z58" i="1" s="1"/>
  <c r="K58" i="1" s="1"/>
  <c r="W58" i="1"/>
  <c r="U58" i="1"/>
  <c r="V58" i="1" s="1"/>
  <c r="T58" i="1"/>
  <c r="AI57" i="1"/>
  <c r="AE57" i="1"/>
  <c r="Z57" i="1" a="1"/>
  <c r="Z57" i="1"/>
  <c r="W57" i="1"/>
  <c r="U57" i="1"/>
  <c r="T57" i="1"/>
  <c r="AI56" i="1"/>
  <c r="AE56" i="1"/>
  <c r="Z56" i="1" a="1"/>
  <c r="Z56" i="1"/>
  <c r="W56" i="1"/>
  <c r="T56" i="1"/>
  <c r="U56" i="1" s="1"/>
  <c r="AI55" i="1"/>
  <c r="AE55" i="1"/>
  <c r="Z55" i="1" a="1"/>
  <c r="Z55" i="1"/>
  <c r="W55" i="1"/>
  <c r="U55" i="1"/>
  <c r="V55" i="1" s="1"/>
  <c r="T55" i="1"/>
  <c r="O55" i="1"/>
  <c r="K55" i="1"/>
  <c r="M55" i="1" s="1"/>
  <c r="AI54" i="1"/>
  <c r="AE54" i="1"/>
  <c r="Z54" i="1" a="1"/>
  <c r="Z54" i="1"/>
  <c r="W54" i="1"/>
  <c r="U54" i="1"/>
  <c r="K54" i="1" s="1"/>
  <c r="T54" i="1"/>
  <c r="V54" i="1" s="1"/>
  <c r="Z53" i="1" a="1"/>
  <c r="Z53" i="1"/>
  <c r="W53" i="1"/>
  <c r="T53" i="1"/>
  <c r="AI52" i="1"/>
  <c r="Z52" i="1" a="1"/>
  <c r="Z52" i="1" s="1"/>
  <c r="W52" i="1"/>
  <c r="T52" i="1"/>
  <c r="AI51" i="1"/>
  <c r="Z51" i="1" a="1"/>
  <c r="Z51" i="1"/>
  <c r="K51" i="1" s="1"/>
  <c r="X51" i="1" s="1"/>
  <c r="Y51" i="1"/>
  <c r="W51" i="1"/>
  <c r="V51" i="1"/>
  <c r="T51" i="1"/>
  <c r="U51" i="1" s="1"/>
  <c r="AI50" i="1"/>
  <c r="Z50" i="1" a="1"/>
  <c r="Z50" i="1"/>
  <c r="W50" i="1"/>
  <c r="V50" i="1"/>
  <c r="U50" i="1"/>
  <c r="T50" i="1"/>
  <c r="AI49" i="1"/>
  <c r="Z49" i="1" a="1"/>
  <c r="Z49" i="1" s="1"/>
  <c r="W49" i="1"/>
  <c r="T49" i="1"/>
  <c r="AI48" i="1"/>
  <c r="Z48" i="1" a="1"/>
  <c r="Z48" i="1"/>
  <c r="W48" i="1"/>
  <c r="V48" i="1"/>
  <c r="U48" i="1"/>
  <c r="T48" i="1"/>
  <c r="M48" i="1"/>
  <c r="O48" i="1" s="1"/>
  <c r="K48" i="1"/>
  <c r="X48" i="1" s="1"/>
  <c r="Y48" i="1" s="1"/>
  <c r="AI47" i="1"/>
  <c r="Z47" i="1" a="1"/>
  <c r="Z47" i="1" s="1"/>
  <c r="K47" i="1" s="1"/>
  <c r="M47" i="1" s="1"/>
  <c r="O47" i="1" s="1"/>
  <c r="P47" i="1" s="1"/>
  <c r="Q47" i="1" s="1"/>
  <c r="X47" i="1"/>
  <c r="Y47" i="1" s="1"/>
  <c r="N47" i="1" s="1"/>
  <c r="W47" i="1"/>
  <c r="U47" i="1"/>
  <c r="V47" i="1" s="1"/>
  <c r="T47" i="1"/>
  <c r="AI46" i="1"/>
  <c r="Z46" i="1" a="1"/>
  <c r="Z46" i="1" s="1"/>
  <c r="W46" i="1"/>
  <c r="T46" i="1"/>
  <c r="AI45" i="1"/>
  <c r="Z45" i="1" a="1"/>
  <c r="Z45" i="1"/>
  <c r="W45" i="1"/>
  <c r="T45" i="1"/>
  <c r="AI44" i="1"/>
  <c r="Z44" i="1" a="1"/>
  <c r="Z44" i="1" s="1"/>
  <c r="W44" i="1"/>
  <c r="U44" i="1"/>
  <c r="V44" i="1" s="1"/>
  <c r="T44" i="1"/>
  <c r="AI43" i="1"/>
  <c r="Z43" i="1" a="1"/>
  <c r="Z43" i="1"/>
  <c r="W43" i="1"/>
  <c r="U43" i="1"/>
  <c r="V43" i="1" s="1"/>
  <c r="T43" i="1"/>
  <c r="AI42" i="1"/>
  <c r="Z42" i="1" a="1"/>
  <c r="Z42" i="1" s="1"/>
  <c r="W42" i="1"/>
  <c r="T42" i="1"/>
  <c r="AI41" i="1"/>
  <c r="Z41" i="1" a="1"/>
  <c r="Z41" i="1" s="1"/>
  <c r="K41" i="1" s="1"/>
  <c r="W41" i="1"/>
  <c r="V41" i="1"/>
  <c r="T41" i="1"/>
  <c r="U41" i="1" s="1"/>
  <c r="AI40" i="1"/>
  <c r="Z40" i="1" a="1"/>
  <c r="Z40" i="1" s="1"/>
  <c r="W40" i="1"/>
  <c r="U40" i="1"/>
  <c r="V40" i="1" s="1"/>
  <c r="T40" i="1"/>
  <c r="AI39" i="1"/>
  <c r="Z39" i="1" a="1"/>
  <c r="Z39" i="1" s="1"/>
  <c r="K39" i="1" s="1"/>
  <c r="W39" i="1"/>
  <c r="U39" i="1"/>
  <c r="V39" i="1" s="1"/>
  <c r="T39" i="1"/>
  <c r="AI38" i="1"/>
  <c r="Z38" i="1" a="1"/>
  <c r="Z38" i="1" s="1"/>
  <c r="K38" i="1" s="1"/>
  <c r="X38" i="1" s="1"/>
  <c r="Y38" i="1" s="1"/>
  <c r="W38" i="1"/>
  <c r="U38" i="1"/>
  <c r="T38" i="1"/>
  <c r="V38" i="1" s="1"/>
  <c r="AI37" i="1"/>
  <c r="Z37" i="1" a="1"/>
  <c r="Z37" i="1"/>
  <c r="W37" i="1"/>
  <c r="T37" i="1"/>
  <c r="AI36" i="1"/>
  <c r="Z36" i="1" a="1"/>
  <c r="Z36" i="1" s="1"/>
  <c r="W36" i="1"/>
  <c r="T36" i="1"/>
  <c r="AI35" i="1"/>
  <c r="Z35" i="1" a="1"/>
  <c r="Z35" i="1"/>
  <c r="W35" i="1"/>
  <c r="T35" i="1"/>
  <c r="U35" i="1" s="1"/>
  <c r="V35" i="1" s="1"/>
  <c r="K35" i="1" s="1"/>
  <c r="AI34" i="1"/>
  <c r="Z34" i="1" a="1"/>
  <c r="Z34" i="1" s="1"/>
  <c r="W34" i="1"/>
  <c r="T34" i="1"/>
  <c r="AI33" i="1"/>
  <c r="Z33" i="1" a="1"/>
  <c r="Z33" i="1"/>
  <c r="W33" i="1"/>
  <c r="T33" i="1"/>
  <c r="Z32" i="1" a="1"/>
  <c r="Z32" i="1"/>
  <c r="W32" i="1"/>
  <c r="T32" i="1"/>
  <c r="AI31" i="1"/>
  <c r="Z31" i="1" a="1"/>
  <c r="Z31" i="1" s="1"/>
  <c r="W31" i="1"/>
  <c r="T31" i="1"/>
  <c r="U31" i="1" s="1"/>
  <c r="AI30" i="1"/>
  <c r="Z30" i="1" a="1"/>
  <c r="Z30" i="1" s="1"/>
  <c r="W30" i="1"/>
  <c r="T30" i="1"/>
  <c r="U30" i="1" s="1"/>
  <c r="AI29" i="1"/>
  <c r="Z29" i="1" a="1"/>
  <c r="Z29" i="1" s="1"/>
  <c r="K29" i="1" s="1"/>
  <c r="W29" i="1"/>
  <c r="V29" i="1"/>
  <c r="U29" i="1"/>
  <c r="T29" i="1"/>
  <c r="AI28" i="1"/>
  <c r="Z28" i="1" a="1"/>
  <c r="Z28" i="1" s="1"/>
  <c r="K28" i="1" s="1"/>
  <c r="W28" i="1"/>
  <c r="U28" i="1"/>
  <c r="T28" i="1"/>
  <c r="V28" i="1" s="1"/>
  <c r="AI27" i="1"/>
  <c r="Z27" i="1" a="1"/>
  <c r="Z27" i="1" s="1"/>
  <c r="W27" i="1"/>
  <c r="U27" i="1"/>
  <c r="T27" i="1"/>
  <c r="AI26" i="1"/>
  <c r="Z26" i="1" a="1"/>
  <c r="Z26" i="1"/>
  <c r="W26" i="1"/>
  <c r="T26" i="1"/>
  <c r="U26" i="1" s="1"/>
  <c r="V26" i="1" s="1"/>
  <c r="AI25" i="1"/>
  <c r="Z25" i="1" a="1"/>
  <c r="Z25" i="1"/>
  <c r="W25" i="1"/>
  <c r="U25" i="1"/>
  <c r="T25" i="1"/>
  <c r="V25" i="1" s="1"/>
  <c r="K25" i="1"/>
  <c r="AI24" i="1"/>
  <c r="Z24" i="1" a="1"/>
  <c r="Z24" i="1" s="1"/>
  <c r="K24" i="1" s="1"/>
  <c r="W24" i="1"/>
  <c r="U24" i="1"/>
  <c r="T24" i="1"/>
  <c r="V24" i="1" s="1"/>
  <c r="AI23" i="1"/>
  <c r="Z23" i="1" a="1"/>
  <c r="Z23" i="1"/>
  <c r="W23" i="1"/>
  <c r="U23" i="1"/>
  <c r="V23" i="1" s="1"/>
  <c r="T23" i="1"/>
  <c r="AI22" i="1"/>
  <c r="Z22" i="1" a="1"/>
  <c r="Z22" i="1" s="1"/>
  <c r="W22" i="1"/>
  <c r="U22" i="1"/>
  <c r="T22" i="1"/>
  <c r="AI21" i="1"/>
  <c r="Z21" i="1" a="1"/>
  <c r="Z21" i="1"/>
  <c r="K21" i="1" s="1"/>
  <c r="W21" i="1"/>
  <c r="V21" i="1"/>
  <c r="U21" i="1"/>
  <c r="T21" i="1"/>
  <c r="AI20" i="1"/>
  <c r="Z20" i="1" a="1"/>
  <c r="Z20" i="1"/>
  <c r="K20" i="1" s="1"/>
  <c r="W20" i="1"/>
  <c r="V20" i="1"/>
  <c r="T20" i="1"/>
  <c r="U20" i="1" s="1"/>
  <c r="AI19" i="1"/>
  <c r="Z19" i="1" a="1"/>
  <c r="Z19" i="1" s="1"/>
  <c r="W19" i="1"/>
  <c r="T19" i="1"/>
  <c r="U19" i="1" s="1"/>
  <c r="V19" i="1" s="1"/>
  <c r="AI18" i="1"/>
  <c r="Z18" i="1" a="1"/>
  <c r="Z18" i="1" s="1"/>
  <c r="W18" i="1"/>
  <c r="T18" i="1"/>
  <c r="AI17" i="1"/>
  <c r="Z17" i="1" a="1"/>
  <c r="Z17" i="1" s="1"/>
  <c r="K17" i="1" s="1"/>
  <c r="W17" i="1"/>
  <c r="U17" i="1"/>
  <c r="V17" i="1" s="1"/>
  <c r="T17" i="1"/>
  <c r="AI16" i="1"/>
  <c r="Z16" i="1" a="1"/>
  <c r="Z16" i="1" s="1"/>
  <c r="K16" i="1" s="1"/>
  <c r="W16" i="1"/>
  <c r="U16" i="1"/>
  <c r="V16" i="1" s="1"/>
  <c r="T16" i="1"/>
  <c r="AI15" i="1"/>
  <c r="Z15" i="1" a="1"/>
  <c r="Z15" i="1" s="1"/>
  <c r="W15" i="1"/>
  <c r="T15" i="1"/>
  <c r="AI14" i="1"/>
  <c r="Z14" i="1" a="1"/>
  <c r="Z14" i="1"/>
  <c r="W14" i="1"/>
  <c r="T14" i="1"/>
  <c r="AI13" i="1"/>
  <c r="Z13" i="1" a="1"/>
  <c r="Z13" i="1"/>
  <c r="W13" i="1"/>
  <c r="U13" i="1"/>
  <c r="V13" i="1" s="1"/>
  <c r="K13" i="1" s="1"/>
  <c r="T13" i="1"/>
  <c r="AI12" i="1"/>
  <c r="Z12" i="1" a="1"/>
  <c r="Z12" i="1" s="1"/>
  <c r="W12" i="1"/>
  <c r="T12" i="1"/>
  <c r="D9" i="1"/>
  <c r="K8" i="1"/>
  <c r="V7" i="1"/>
  <c r="U7" i="1"/>
  <c r="W6" i="1"/>
  <c r="X6" i="1" s="1"/>
  <c r="V6" i="1"/>
  <c r="U6" i="1"/>
  <c r="U5" i="1"/>
  <c r="V4" i="1"/>
  <c r="U4" i="1"/>
  <c r="AB3" i="1"/>
  <c r="V3" i="1"/>
  <c r="U3" i="1"/>
  <c r="U8" i="1" s="1"/>
  <c r="K56" i="2" l="1"/>
  <c r="M56" i="2" s="1"/>
  <c r="X56" i="2" s="1"/>
  <c r="AJ5" i="2"/>
  <c r="AK5" i="2" s="1"/>
  <c r="V103" i="2"/>
  <c r="K103" i="2" s="1"/>
  <c r="AI5" i="2"/>
  <c r="V19" i="2"/>
  <c r="K19" i="2" s="1"/>
  <c r="V136" i="2"/>
  <c r="AJ2" i="2"/>
  <c r="AK2" i="2" s="1"/>
  <c r="V15" i="2"/>
  <c r="K15" i="2" s="1"/>
  <c r="M15" i="2" s="1"/>
  <c r="O15" i="2" s="1"/>
  <c r="V63" i="2"/>
  <c r="K63" i="2" s="1"/>
  <c r="M63" i="2" s="1"/>
  <c r="X63" i="2" s="1"/>
  <c r="V70" i="2"/>
  <c r="V81" i="2"/>
  <c r="K81" i="2" s="1"/>
  <c r="V42" i="2"/>
  <c r="K42" i="2" s="1"/>
  <c r="K92" i="2"/>
  <c r="X92" i="2" s="1"/>
  <c r="Y92" i="2" s="1"/>
  <c r="V26" i="2"/>
  <c r="X116" i="2"/>
  <c r="Y116" i="2" s="1"/>
  <c r="V128" i="2"/>
  <c r="V66" i="2"/>
  <c r="K66" i="2" s="1"/>
  <c r="U71" i="2"/>
  <c r="V71" i="2" s="1"/>
  <c r="U104" i="2"/>
  <c r="V104" i="2" s="1"/>
  <c r="K104" i="2" s="1"/>
  <c r="V54" i="2"/>
  <c r="X54" i="2" s="1"/>
  <c r="Y54" i="2" s="1"/>
  <c r="V37" i="2"/>
  <c r="K37" i="2" s="1"/>
  <c r="X37" i="2" s="1"/>
  <c r="Y37" i="2" s="1"/>
  <c r="U16" i="2"/>
  <c r="V16" i="2" s="1"/>
  <c r="K16" i="2" s="1"/>
  <c r="U33" i="2"/>
  <c r="V33" i="2" s="1"/>
  <c r="V100" i="2"/>
  <c r="K100" i="2" s="1"/>
  <c r="U21" i="2"/>
  <c r="V21" i="2" s="1"/>
  <c r="U27" i="2"/>
  <c r="V27" i="2" s="1"/>
  <c r="K55" i="2"/>
  <c r="X55" i="2" s="1"/>
  <c r="Y55" i="2" s="1"/>
  <c r="V112" i="2"/>
  <c r="V44" i="2"/>
  <c r="K44" i="2" s="1"/>
  <c r="U67" i="2"/>
  <c r="V67" i="2" s="1"/>
  <c r="K67" i="2" s="1"/>
  <c r="V62" i="2"/>
  <c r="V78" i="2"/>
  <c r="V89" i="2"/>
  <c r="V118" i="2"/>
  <c r="AI2" i="2"/>
  <c r="K68" i="2"/>
  <c r="V108" i="2"/>
  <c r="V40" i="2"/>
  <c r="K40" i="2" s="1"/>
  <c r="U18" i="2"/>
  <c r="U29" i="2"/>
  <c r="V29" i="2" s="1"/>
  <c r="K29" i="2" s="1"/>
  <c r="U69" i="2"/>
  <c r="V69" i="2" s="1"/>
  <c r="V85" i="2"/>
  <c r="K96" i="2"/>
  <c r="X113" i="2"/>
  <c r="Y113" i="2" s="1"/>
  <c r="V125" i="2"/>
  <c r="U143" i="2"/>
  <c r="V143" i="2" s="1"/>
  <c r="L148" i="2"/>
  <c r="K79" i="2"/>
  <c r="M79" i="2" s="1"/>
  <c r="X79" i="2" s="1"/>
  <c r="U41" i="2"/>
  <c r="U80" i="2"/>
  <c r="U132" i="2"/>
  <c r="U119" i="2"/>
  <c r="V119" i="2" s="1"/>
  <c r="V75" i="2"/>
  <c r="K75" i="2" s="1"/>
  <c r="U109" i="2"/>
  <c r="V109" i="2" s="1"/>
  <c r="X77" i="1"/>
  <c r="Y77" i="1" s="1"/>
  <c r="M77" i="1"/>
  <c r="X17" i="1"/>
  <c r="Y17" i="1" s="1"/>
  <c r="M17" i="1"/>
  <c r="M41" i="1"/>
  <c r="X41" i="1"/>
  <c r="Y41" i="1" s="1"/>
  <c r="M103" i="1"/>
  <c r="X103" i="1"/>
  <c r="Y103" i="1" s="1"/>
  <c r="X65" i="1"/>
  <c r="Y65" i="1" s="1"/>
  <c r="M65" i="1"/>
  <c r="X84" i="1"/>
  <c r="Y84" i="1" s="1"/>
  <c r="M84" i="1"/>
  <c r="K133" i="1"/>
  <c r="K22" i="1"/>
  <c r="M58" i="1"/>
  <c r="X58" i="1"/>
  <c r="Y58" i="1" s="1"/>
  <c r="P78" i="1"/>
  <c r="Q78" i="1" s="1"/>
  <c r="K26" i="1"/>
  <c r="X13" i="1"/>
  <c r="Y13" i="1" s="1"/>
  <c r="M13" i="1"/>
  <c r="X94" i="1"/>
  <c r="Y94" i="1" s="1"/>
  <c r="M94" i="1"/>
  <c r="M39" i="1"/>
  <c r="X39" i="1"/>
  <c r="Y39" i="1" s="1"/>
  <c r="X35" i="1"/>
  <c r="Y35" i="1" s="1"/>
  <c r="M35" i="1"/>
  <c r="M117" i="1"/>
  <c r="X117" i="1"/>
  <c r="Y117" i="1" s="1"/>
  <c r="V8" i="1"/>
  <c r="P48" i="1"/>
  <c r="Q48" i="1" s="1"/>
  <c r="M28" i="1"/>
  <c r="X28" i="1"/>
  <c r="Y28" i="1" s="1"/>
  <c r="V34" i="1"/>
  <c r="K79" i="1"/>
  <c r="X24" i="1"/>
  <c r="Y24" i="1" s="1"/>
  <c r="M24" i="1"/>
  <c r="V106" i="1"/>
  <c r="K53" i="1"/>
  <c r="M29" i="1"/>
  <c r="X29" i="1"/>
  <c r="Y29" i="1" s="1"/>
  <c r="X80" i="1"/>
  <c r="Y80" i="1" s="1"/>
  <c r="M80" i="1"/>
  <c r="K57" i="1"/>
  <c r="K90" i="1"/>
  <c r="X20" i="1"/>
  <c r="Y20" i="1" s="1"/>
  <c r="M20" i="1"/>
  <c r="X16" i="1"/>
  <c r="Y16" i="1" s="1"/>
  <c r="M16" i="1"/>
  <c r="K49" i="1"/>
  <c r="M21" i="1"/>
  <c r="X21" i="1"/>
  <c r="Y21" i="1" s="1"/>
  <c r="X54" i="1"/>
  <c r="Y54" i="1" s="1"/>
  <c r="M54" i="1"/>
  <c r="K23" i="1"/>
  <c r="U95" i="1"/>
  <c r="V95" i="1" s="1"/>
  <c r="K95" i="1" s="1"/>
  <c r="K100" i="1"/>
  <c r="U106" i="1"/>
  <c r="V123" i="2"/>
  <c r="K123" i="2" s="1"/>
  <c r="O82" i="1"/>
  <c r="P82" i="1" s="1"/>
  <c r="Q82" i="1" s="1"/>
  <c r="K132" i="1"/>
  <c r="U14" i="1"/>
  <c r="V14" i="1" s="1"/>
  <c r="K14" i="1" s="1"/>
  <c r="K19" i="1"/>
  <c r="V12" i="1"/>
  <c r="U34" i="1"/>
  <c r="U115" i="1"/>
  <c r="M74" i="1"/>
  <c r="X74" i="1"/>
  <c r="Y74" i="1" s="1"/>
  <c r="M98" i="1"/>
  <c r="P124" i="1"/>
  <c r="Q124" i="1" s="1"/>
  <c r="V61" i="1"/>
  <c r="K44" i="1"/>
  <c r="K112" i="1"/>
  <c r="U121" i="1"/>
  <c r="V121" i="1" s="1"/>
  <c r="K121" i="1" s="1"/>
  <c r="V57" i="2"/>
  <c r="K57" i="2" s="1"/>
  <c r="N124" i="1"/>
  <c r="Z160" i="1"/>
  <c r="U68" i="1"/>
  <c r="V68" i="1" s="1"/>
  <c r="K70" i="1"/>
  <c r="V96" i="1"/>
  <c r="K96" i="1" s="1"/>
  <c r="U130" i="1"/>
  <c r="K34" i="1"/>
  <c r="U42" i="1"/>
  <c r="V52" i="1"/>
  <c r="U63" i="1"/>
  <c r="V63" i="1" s="1"/>
  <c r="K61" i="1"/>
  <c r="V22" i="1"/>
  <c r="U37" i="1"/>
  <c r="V37" i="1"/>
  <c r="U52" i="1"/>
  <c r="K52" i="1" s="1"/>
  <c r="U75" i="1"/>
  <c r="V75" i="1" s="1"/>
  <c r="U93" i="1"/>
  <c r="V104" i="1"/>
  <c r="U45" i="1"/>
  <c r="K45" i="1" s="1"/>
  <c r="V45" i="1"/>
  <c r="X59" i="1"/>
  <c r="Y59" i="1" s="1"/>
  <c r="N59" i="1" s="1"/>
  <c r="M73" i="1"/>
  <c r="X73" i="1"/>
  <c r="Y73" i="1" s="1"/>
  <c r="V57" i="1"/>
  <c r="U58" i="2"/>
  <c r="V58" i="2" s="1"/>
  <c r="K67" i="1"/>
  <c r="U122" i="1"/>
  <c r="V122" i="1" s="1"/>
  <c r="K122" i="1" s="1"/>
  <c r="U79" i="1"/>
  <c r="V79" i="1"/>
  <c r="X25" i="1"/>
  <c r="Y25" i="1" s="1"/>
  <c r="M25" i="1"/>
  <c r="K107" i="1"/>
  <c r="U116" i="1"/>
  <c r="N48" i="1"/>
  <c r="K66" i="1"/>
  <c r="M69" i="1"/>
  <c r="V56" i="1"/>
  <c r="K37" i="1"/>
  <c r="M99" i="1"/>
  <c r="X99" i="1"/>
  <c r="Y99" i="1" s="1"/>
  <c r="K50" i="1"/>
  <c r="V71" i="1"/>
  <c r="K71" i="1" s="1"/>
  <c r="V91" i="1"/>
  <c r="U91" i="1"/>
  <c r="U53" i="1"/>
  <c r="V53" i="1"/>
  <c r="U76" i="1"/>
  <c r="V86" i="1"/>
  <c r="K86" i="1" s="1"/>
  <c r="K88" i="1"/>
  <c r="K91" i="1"/>
  <c r="U97" i="1"/>
  <c r="U138" i="2"/>
  <c r="V138" i="2" s="1"/>
  <c r="K64" i="1"/>
  <c r="U83" i="1"/>
  <c r="V83" i="1"/>
  <c r="U18" i="1"/>
  <c r="V18" i="1" s="1"/>
  <c r="X55" i="1"/>
  <c r="Y55" i="1" s="1"/>
  <c r="N55" i="1" s="1"/>
  <c r="P55" i="1" s="1"/>
  <c r="Q55" i="1" s="1"/>
  <c r="M144" i="1"/>
  <c r="X144" i="1"/>
  <c r="Y144" i="1" s="1"/>
  <c r="K141" i="1"/>
  <c r="U46" i="1"/>
  <c r="V46" i="1" s="1"/>
  <c r="M131" i="1"/>
  <c r="X131" i="1"/>
  <c r="Y131" i="1" s="1"/>
  <c r="U125" i="1"/>
  <c r="V125" i="1" s="1"/>
  <c r="K125" i="1" s="1"/>
  <c r="K110" i="1"/>
  <c r="U60" i="1"/>
  <c r="K60" i="1" s="1"/>
  <c r="N78" i="1"/>
  <c r="K40" i="1"/>
  <c r="V60" i="1"/>
  <c r="V105" i="1"/>
  <c r="K105" i="1" s="1"/>
  <c r="M51" i="1"/>
  <c r="U33" i="1"/>
  <c r="K43" i="1"/>
  <c r="O59" i="1"/>
  <c r="U59" i="2"/>
  <c r="V59" i="2" s="1"/>
  <c r="K59" i="2" s="1"/>
  <c r="M38" i="1"/>
  <c r="U102" i="1"/>
  <c r="K128" i="1"/>
  <c r="U105" i="2"/>
  <c r="V105" i="2" s="1"/>
  <c r="V67" i="1"/>
  <c r="U23" i="2"/>
  <c r="V23" i="2" s="1"/>
  <c r="K56" i="1"/>
  <c r="U24" i="2"/>
  <c r="V24" i="2" s="1"/>
  <c r="U61" i="2"/>
  <c r="V117" i="2"/>
  <c r="U72" i="1"/>
  <c r="K119" i="1"/>
  <c r="U127" i="2"/>
  <c r="V127" i="2" s="1"/>
  <c r="K127" i="2" s="1"/>
  <c r="V49" i="1"/>
  <c r="U32" i="2"/>
  <c r="V32" i="2" s="1"/>
  <c r="U87" i="2"/>
  <c r="V87" i="2" s="1"/>
  <c r="U101" i="2"/>
  <c r="V101" i="2" s="1"/>
  <c r="V15" i="1"/>
  <c r="K108" i="1"/>
  <c r="K123" i="1"/>
  <c r="K92" i="1"/>
  <c r="U15" i="1"/>
  <c r="K15" i="1" s="1"/>
  <c r="V27" i="1"/>
  <c r="K27" i="1" s="1"/>
  <c r="V31" i="1"/>
  <c r="K31" i="1" s="1"/>
  <c r="AH7" i="2"/>
  <c r="V74" i="2"/>
  <c r="K74" i="2" s="1"/>
  <c r="U88" i="2"/>
  <c r="V88" i="2" s="1"/>
  <c r="K120" i="1"/>
  <c r="V115" i="2"/>
  <c r="K115" i="2" s="1"/>
  <c r="K101" i="1"/>
  <c r="K139" i="1"/>
  <c r="U142" i="1"/>
  <c r="U111" i="1"/>
  <c r="V111" i="1" s="1"/>
  <c r="K126" i="1"/>
  <c r="K87" i="1"/>
  <c r="K113" i="1"/>
  <c r="K129" i="1"/>
  <c r="U111" i="2"/>
  <c r="U34" i="2"/>
  <c r="V60" i="2"/>
  <c r="K60" i="2" s="1"/>
  <c r="V64" i="2"/>
  <c r="K64" i="2" s="1"/>
  <c r="W3" i="1"/>
  <c r="L147" i="1"/>
  <c r="AE147" i="1" s="1"/>
  <c r="L148" i="1"/>
  <c r="AE148" i="1" s="1"/>
  <c r="W5" i="1"/>
  <c r="V5" i="1"/>
  <c r="AI146" i="1"/>
  <c r="W4" i="1"/>
  <c r="X4" i="1" s="1"/>
  <c r="W7" i="1"/>
  <c r="X7" i="1" s="1"/>
  <c r="K114" i="1"/>
  <c r="AE146" i="1"/>
  <c r="V36" i="1"/>
  <c r="K81" i="1"/>
  <c r="K85" i="1"/>
  <c r="V107" i="1"/>
  <c r="V109" i="1"/>
  <c r="U43" i="2"/>
  <c r="V30" i="1"/>
  <c r="K30" i="1" s="1"/>
  <c r="U36" i="1"/>
  <c r="K36" i="1" s="1"/>
  <c r="U107" i="1"/>
  <c r="V135" i="1"/>
  <c r="K135" i="1" s="1"/>
  <c r="L149" i="1"/>
  <c r="AE149" i="1" s="1"/>
  <c r="AI147" i="1"/>
  <c r="K143" i="1"/>
  <c r="K17" i="2"/>
  <c r="V91" i="2"/>
  <c r="K91" i="2" s="1"/>
  <c r="K140" i="1"/>
  <c r="U46" i="2"/>
  <c r="V46" i="2" s="1"/>
  <c r="AJ4" i="2"/>
  <c r="AJ3" i="2"/>
  <c r="U94" i="2"/>
  <c r="V94" i="2" s="1"/>
  <c r="V133" i="1"/>
  <c r="U49" i="2"/>
  <c r="V49" i="2" s="1"/>
  <c r="V137" i="1"/>
  <c r="K137" i="1" s="1"/>
  <c r="V76" i="2"/>
  <c r="K76" i="2" s="1"/>
  <c r="V82" i="2"/>
  <c r="K82" i="2" s="1"/>
  <c r="K139" i="2"/>
  <c r="U107" i="2"/>
  <c r="V107" i="2" s="1"/>
  <c r="K107" i="2" s="1"/>
  <c r="U122" i="2"/>
  <c r="U38" i="2"/>
  <c r="U65" i="2"/>
  <c r="V65" i="2" s="1"/>
  <c r="K65" i="2" s="1"/>
  <c r="G147" i="1"/>
  <c r="Z161" i="1"/>
  <c r="U53" i="2"/>
  <c r="U126" i="2"/>
  <c r="V11" i="2"/>
  <c r="V95" i="2"/>
  <c r="K95" i="2" s="1"/>
  <c r="K14" i="2"/>
  <c r="V39" i="2"/>
  <c r="K39" i="2" s="1"/>
  <c r="V50" i="2"/>
  <c r="K50" i="2" s="1"/>
  <c r="AI3" i="2"/>
  <c r="V30" i="2"/>
  <c r="K77" i="2"/>
  <c r="V90" i="2"/>
  <c r="V99" i="2"/>
  <c r="K99" i="2" s="1"/>
  <c r="U141" i="2"/>
  <c r="U109" i="1"/>
  <c r="U127" i="1"/>
  <c r="V127" i="1" s="1"/>
  <c r="U134" i="1"/>
  <c r="U72" i="2"/>
  <c r="V72" i="2" s="1"/>
  <c r="K72" i="2" s="1"/>
  <c r="U134" i="2"/>
  <c r="V134" i="2" s="1"/>
  <c r="U12" i="1"/>
  <c r="U32" i="1"/>
  <c r="V32" i="1" s="1"/>
  <c r="K32" i="1" s="1"/>
  <c r="U49" i="1"/>
  <c r="U62" i="1"/>
  <c r="V62" i="1" s="1"/>
  <c r="K62" i="1" s="1"/>
  <c r="U89" i="1"/>
  <c r="V89" i="1" s="1"/>
  <c r="U104" i="1"/>
  <c r="K104" i="1" s="1"/>
  <c r="U118" i="1"/>
  <c r="V118" i="1" s="1"/>
  <c r="G148" i="1"/>
  <c r="U12" i="2"/>
  <c r="V12" i="2" s="1"/>
  <c r="U93" i="2"/>
  <c r="V93" i="2" s="1"/>
  <c r="U136" i="1"/>
  <c r="V136" i="1" s="1"/>
  <c r="K136" i="1" s="1"/>
  <c r="V51" i="2"/>
  <c r="V13" i="2"/>
  <c r="U22" i="2"/>
  <c r="V22" i="2" s="1"/>
  <c r="V73" i="2"/>
  <c r="K73" i="2" s="1"/>
  <c r="V20" i="2"/>
  <c r="K20" i="2" s="1"/>
  <c r="V35" i="2"/>
  <c r="K35" i="2" s="1"/>
  <c r="V102" i="2"/>
  <c r="V114" i="2"/>
  <c r="U131" i="2"/>
  <c r="V131" i="2" s="1"/>
  <c r="U144" i="2"/>
  <c r="V144" i="2" s="1"/>
  <c r="U98" i="2"/>
  <c r="V98" i="2" s="1"/>
  <c r="V130" i="2"/>
  <c r="L147" i="2"/>
  <c r="G147" i="2"/>
  <c r="AI4" i="2"/>
  <c r="AJ6" i="2"/>
  <c r="AK6" i="2" s="1"/>
  <c r="AI6" i="2"/>
  <c r="U135" i="2"/>
  <c r="V84" i="2"/>
  <c r="K84" i="2" s="1"/>
  <c r="K36" i="2"/>
  <c r="K83" i="2"/>
  <c r="V106" i="2"/>
  <c r="V138" i="1"/>
  <c r="K138" i="1" s="1"/>
  <c r="V97" i="2"/>
  <c r="V121" i="2"/>
  <c r="V145" i="2"/>
  <c r="V133" i="2"/>
  <c r="F11" i="5"/>
  <c r="U47" i="2"/>
  <c r="H19" i="5"/>
  <c r="O56" i="2" l="1"/>
  <c r="M156" i="2"/>
  <c r="N156" i="2" s="1"/>
  <c r="M103" i="2"/>
  <c r="O103" i="2" s="1"/>
  <c r="X103" i="2"/>
  <c r="Y103" i="2" s="1"/>
  <c r="M37" i="2"/>
  <c r="O37" i="2" s="1"/>
  <c r="M55" i="2"/>
  <c r="O55" i="2" s="1"/>
  <c r="X25" i="2"/>
  <c r="Y25" i="2" s="1"/>
  <c r="K71" i="2"/>
  <c r="X46" i="2"/>
  <c r="Y46" i="2" s="1"/>
  <c r="K69" i="2"/>
  <c r="K88" i="2"/>
  <c r="M88" i="2" s="1"/>
  <c r="X33" i="2"/>
  <c r="Y33" i="2" s="1"/>
  <c r="X89" i="2"/>
  <c r="Y89" i="2" s="1"/>
  <c r="M16" i="2"/>
  <c r="O16" i="2" s="1"/>
  <c r="X16" i="2"/>
  <c r="Y16" i="2" s="1"/>
  <c r="X27" i="2"/>
  <c r="Y27" i="2" s="1"/>
  <c r="V61" i="2"/>
  <c r="K61" i="2" s="1"/>
  <c r="V132" i="2"/>
  <c r="V41" i="2"/>
  <c r="K41" i="2" s="1"/>
  <c r="V111" i="2"/>
  <c r="K111" i="2" s="1"/>
  <c r="X124" i="2"/>
  <c r="Y124" i="2" s="1"/>
  <c r="X96" i="2"/>
  <c r="Y96" i="2" s="1"/>
  <c r="M96" i="2"/>
  <c r="M92" i="2"/>
  <c r="O92" i="2" s="1"/>
  <c r="V80" i="2"/>
  <c r="K80" i="2" s="1"/>
  <c r="K119" i="2"/>
  <c r="X119" i="2" s="1"/>
  <c r="Y119" i="2" s="1"/>
  <c r="M68" i="2"/>
  <c r="X68" i="2" s="1"/>
  <c r="Y68" i="2" s="1"/>
  <c r="N68" i="2" s="1"/>
  <c r="AJ7" i="2"/>
  <c r="AK7" i="2" s="1"/>
  <c r="X15" i="2"/>
  <c r="Y15" i="2" s="1"/>
  <c r="N15" i="2" s="1"/>
  <c r="P15" i="2" s="1"/>
  <c r="Q15" i="2" s="1"/>
  <c r="Y79" i="2"/>
  <c r="N79" i="2" s="1"/>
  <c r="X136" i="2"/>
  <c r="Y136" i="2" s="1"/>
  <c r="V135" i="2"/>
  <c r="K135" i="2" s="1"/>
  <c r="Y63" i="2"/>
  <c r="N63" i="2" s="1"/>
  <c r="V18" i="2"/>
  <c r="K18" i="2" s="1"/>
  <c r="M60" i="2"/>
  <c r="X60" i="2" s="1"/>
  <c r="Y60" i="2" s="1"/>
  <c r="M65" i="2"/>
  <c r="X65" i="2" s="1"/>
  <c r="Y65" i="2" s="1"/>
  <c r="X130" i="2"/>
  <c r="Y130" i="2" s="1"/>
  <c r="X12" i="2"/>
  <c r="Y12" i="2" s="1"/>
  <c r="X106" i="2"/>
  <c r="Y106" i="2" s="1"/>
  <c r="M115" i="2"/>
  <c r="X115" i="2"/>
  <c r="Y115" i="2" s="1"/>
  <c r="M99" i="2"/>
  <c r="X99" i="2"/>
  <c r="Y99" i="2" s="1"/>
  <c r="X98" i="2"/>
  <c r="Y98" i="2" s="1"/>
  <c r="M86" i="1"/>
  <c r="X86" i="1"/>
  <c r="Y86" i="1" s="1"/>
  <c r="X107" i="2"/>
  <c r="Y107" i="2" s="1"/>
  <c r="M107" i="2"/>
  <c r="M104" i="1"/>
  <c r="X104" i="1"/>
  <c r="Y104" i="1" s="1"/>
  <c r="X60" i="1"/>
  <c r="Y60" i="1" s="1"/>
  <c r="M60" i="1"/>
  <c r="M138" i="1"/>
  <c r="X138" i="1"/>
  <c r="Y138" i="1" s="1"/>
  <c r="M31" i="1"/>
  <c r="X31" i="1"/>
  <c r="Y31" i="1" s="1"/>
  <c r="M137" i="1"/>
  <c r="X137" i="1"/>
  <c r="Y137" i="1" s="1"/>
  <c r="X95" i="2"/>
  <c r="Y95" i="2" s="1"/>
  <c r="M95" i="2"/>
  <c r="X11" i="2"/>
  <c r="Y11" i="2" s="1"/>
  <c r="X45" i="1"/>
  <c r="Y45" i="1" s="1"/>
  <c r="M45" i="1"/>
  <c r="X95" i="1"/>
  <c r="Y95" i="1" s="1"/>
  <c r="M95" i="1"/>
  <c r="M121" i="1"/>
  <c r="X121" i="1"/>
  <c r="Y121" i="1" s="1"/>
  <c r="M135" i="1"/>
  <c r="X135" i="1"/>
  <c r="Y135" i="1" s="1"/>
  <c r="X36" i="1"/>
  <c r="Y36" i="1" s="1"/>
  <c r="M36" i="1"/>
  <c r="K33" i="1"/>
  <c r="M122" i="1"/>
  <c r="X122" i="1"/>
  <c r="Y122" i="1" s="1"/>
  <c r="M105" i="1"/>
  <c r="X105" i="1"/>
  <c r="Y105" i="1" s="1"/>
  <c r="X145" i="2"/>
  <c r="Y145" i="2" s="1"/>
  <c r="X125" i="1"/>
  <c r="Y125" i="1" s="1"/>
  <c r="M125" i="1"/>
  <c r="M82" i="2"/>
  <c r="X82" i="2" s="1"/>
  <c r="Y82" i="2" s="1"/>
  <c r="X32" i="1"/>
  <c r="Y32" i="1" s="1"/>
  <c r="M32" i="1"/>
  <c r="M96" i="1"/>
  <c r="X96" i="1"/>
  <c r="Y96" i="1" s="1"/>
  <c r="M35" i="2"/>
  <c r="X35" i="2"/>
  <c r="Y35" i="2" s="1"/>
  <c r="X15" i="1"/>
  <c r="Y15" i="1" s="1"/>
  <c r="M15" i="1"/>
  <c r="M123" i="2"/>
  <c r="X123" i="2"/>
  <c r="Y123" i="2" s="1"/>
  <c r="X49" i="2"/>
  <c r="Y49" i="2" s="1"/>
  <c r="M84" i="2"/>
  <c r="X84" i="2" s="1"/>
  <c r="Y84" i="2"/>
  <c r="X13" i="2"/>
  <c r="Y13" i="2" s="1"/>
  <c r="X51" i="2"/>
  <c r="Y51" i="2" s="1"/>
  <c r="K93" i="1"/>
  <c r="X52" i="1"/>
  <c r="Y52" i="1" s="1"/>
  <c r="M52" i="1"/>
  <c r="X138" i="2"/>
  <c r="Y138" i="2" s="1"/>
  <c r="M127" i="2"/>
  <c r="X127" i="2"/>
  <c r="Y127" i="2" s="1"/>
  <c r="K115" i="1"/>
  <c r="X144" i="2"/>
  <c r="Y144" i="2" s="1"/>
  <c r="M14" i="1"/>
  <c r="X14" i="1"/>
  <c r="Y14" i="1" s="1"/>
  <c r="M62" i="1"/>
  <c r="X62" i="1"/>
  <c r="Y62" i="1" s="1"/>
  <c r="M76" i="2"/>
  <c r="X76" i="2" s="1"/>
  <c r="Y76" i="2" s="1"/>
  <c r="X71" i="1"/>
  <c r="Y71" i="1" s="1"/>
  <c r="M71" i="1"/>
  <c r="M27" i="1"/>
  <c r="X27" i="1"/>
  <c r="Y27" i="1" s="1"/>
  <c r="X105" i="2"/>
  <c r="Y105" i="2" s="1"/>
  <c r="M72" i="2"/>
  <c r="X72" i="2" s="1"/>
  <c r="Y72" i="2" s="1"/>
  <c r="K102" i="1"/>
  <c r="K116" i="1"/>
  <c r="K134" i="1"/>
  <c r="X136" i="1"/>
  <c r="Y136" i="1" s="1"/>
  <c r="M136" i="1"/>
  <c r="M64" i="2"/>
  <c r="X64" i="2" s="1"/>
  <c r="Y64" i="2" s="1"/>
  <c r="O24" i="1"/>
  <c r="N24" i="1"/>
  <c r="X137" i="2"/>
  <c r="Y137" i="2" s="1"/>
  <c r="D10" i="5"/>
  <c r="D11" i="5"/>
  <c r="E10" i="5"/>
  <c r="D9" i="5"/>
  <c r="E11" i="5"/>
  <c r="E9" i="5"/>
  <c r="M126" i="1"/>
  <c r="X126" i="1"/>
  <c r="Y126" i="1" s="1"/>
  <c r="M26" i="1"/>
  <c r="X26" i="1"/>
  <c r="Y26" i="1" s="1"/>
  <c r="AL4" i="2"/>
  <c r="AK4" i="2"/>
  <c r="X85" i="1"/>
  <c r="Y85" i="1" s="1"/>
  <c r="M85" i="1"/>
  <c r="X133" i="2"/>
  <c r="Y133" i="2" s="1"/>
  <c r="M141" i="1"/>
  <c r="X141" i="1"/>
  <c r="Y141" i="1" s="1"/>
  <c r="X34" i="1"/>
  <c r="Y34" i="1" s="1"/>
  <c r="M34" i="1"/>
  <c r="M79" i="1"/>
  <c r="X79" i="1"/>
  <c r="Y79" i="1" s="1"/>
  <c r="B11" i="5"/>
  <c r="X108" i="2"/>
  <c r="Y108" i="2" s="1"/>
  <c r="M81" i="1"/>
  <c r="X81" i="1"/>
  <c r="Y81" i="1" s="1"/>
  <c r="N74" i="1"/>
  <c r="O74" i="1"/>
  <c r="P74" i="1" s="1"/>
  <c r="Q74" i="1" s="1"/>
  <c r="M57" i="2"/>
  <c r="X57" i="2"/>
  <c r="Y57" i="2" s="1"/>
  <c r="M20" i="2"/>
  <c r="X20" i="2"/>
  <c r="Y20" i="2" s="1"/>
  <c r="X42" i="2"/>
  <c r="Y42" i="2" s="1"/>
  <c r="M42" i="2"/>
  <c r="V47" i="2"/>
  <c r="O79" i="2"/>
  <c r="O21" i="1"/>
  <c r="N21" i="1"/>
  <c r="O84" i="1"/>
  <c r="N84" i="1"/>
  <c r="M40" i="2"/>
  <c r="X40" i="2"/>
  <c r="Y40" i="2" s="1"/>
  <c r="M29" i="2"/>
  <c r="X29" i="2"/>
  <c r="Y29" i="2" s="1"/>
  <c r="X100" i="2"/>
  <c r="Y100" i="2" s="1"/>
  <c r="M100" i="2"/>
  <c r="X26" i="2"/>
  <c r="Y26" i="2" s="1"/>
  <c r="M123" i="1"/>
  <c r="X123" i="1"/>
  <c r="Y123" i="1" s="1"/>
  <c r="N144" i="1"/>
  <c r="O144" i="1"/>
  <c r="P144" i="1" s="1"/>
  <c r="Q144" i="1" s="1"/>
  <c r="V130" i="1"/>
  <c r="K130" i="1" s="1"/>
  <c r="V115" i="1"/>
  <c r="X49" i="1"/>
  <c r="Y49" i="1" s="1"/>
  <c r="M49" i="1"/>
  <c r="W8" i="1"/>
  <c r="X8" i="1" s="1"/>
  <c r="Y3" i="1"/>
  <c r="X3" i="1"/>
  <c r="X39" i="2"/>
  <c r="Y39" i="2" s="1"/>
  <c r="M39" i="2"/>
  <c r="X59" i="2"/>
  <c r="Y59" i="2" s="1"/>
  <c r="M59" i="2"/>
  <c r="V38" i="2"/>
  <c r="K38" i="2" s="1"/>
  <c r="X121" i="2"/>
  <c r="Y121" i="2" s="1"/>
  <c r="M81" i="2"/>
  <c r="X81" i="2" s="1"/>
  <c r="Y81" i="2" s="1"/>
  <c r="X14" i="2"/>
  <c r="Y14" i="2" s="1"/>
  <c r="M14" i="2"/>
  <c r="X125" i="2"/>
  <c r="Y125" i="2" s="1"/>
  <c r="K72" i="1"/>
  <c r="O54" i="1"/>
  <c r="N54" i="1"/>
  <c r="N58" i="1"/>
  <c r="O58" i="1"/>
  <c r="M104" i="2"/>
  <c r="X104" i="2"/>
  <c r="Y104" i="2" s="1"/>
  <c r="V72" i="1"/>
  <c r="K87" i="2"/>
  <c r="M22" i="1"/>
  <c r="X22" i="1"/>
  <c r="Y22" i="1" s="1"/>
  <c r="V122" i="2"/>
  <c r="V34" i="2"/>
  <c r="V76" i="1"/>
  <c r="K76" i="1" s="1"/>
  <c r="M133" i="1"/>
  <c r="X133" i="1"/>
  <c r="Y133" i="1" s="1"/>
  <c r="X28" i="2"/>
  <c r="Y28" i="2" s="1"/>
  <c r="X109" i="2"/>
  <c r="Y109" i="2" s="1"/>
  <c r="X92" i="1"/>
  <c r="Y92" i="1" s="1"/>
  <c r="M92" i="1"/>
  <c r="P59" i="1"/>
  <c r="Q59" i="1" s="1"/>
  <c r="O28" i="1"/>
  <c r="N28" i="1"/>
  <c r="X97" i="2"/>
  <c r="Y97" i="2" s="1"/>
  <c r="V134" i="1"/>
  <c r="M74" i="2"/>
  <c r="X74" i="2" s="1"/>
  <c r="Y74" i="2" s="1"/>
  <c r="K58" i="2"/>
  <c r="M108" i="1"/>
  <c r="X108" i="1"/>
  <c r="Y108" i="1" s="1"/>
  <c r="K23" i="2"/>
  <c r="K118" i="1"/>
  <c r="K127" i="1"/>
  <c r="O16" i="1"/>
  <c r="N16" i="1"/>
  <c r="O65" i="1"/>
  <c r="P65" i="1" s="1"/>
  <c r="Q65" i="1" s="1"/>
  <c r="N65" i="1"/>
  <c r="X90" i="2"/>
  <c r="Y90" i="2" s="1"/>
  <c r="V116" i="1"/>
  <c r="M107" i="1"/>
  <c r="X107" i="1"/>
  <c r="Y107" i="1" s="1"/>
  <c r="X119" i="1"/>
  <c r="Y119" i="1" s="1"/>
  <c r="M119" i="1"/>
  <c r="V97" i="1"/>
  <c r="K97" i="1" s="1"/>
  <c r="V102" i="1"/>
  <c r="X100" i="1"/>
  <c r="Y100" i="1" s="1"/>
  <c r="M100" i="1"/>
  <c r="O73" i="1"/>
  <c r="N73" i="1"/>
  <c r="X118" i="2"/>
  <c r="Y118" i="2" s="1"/>
  <c r="X23" i="1"/>
  <c r="Y23" i="1" s="1"/>
  <c r="M23" i="1"/>
  <c r="X102" i="2"/>
  <c r="Y102" i="2" s="1"/>
  <c r="O25" i="1"/>
  <c r="N25" i="1"/>
  <c r="M66" i="2"/>
  <c r="X66" i="2" s="1"/>
  <c r="Y66" i="2" s="1"/>
  <c r="K63" i="1"/>
  <c r="X30" i="2"/>
  <c r="Y30" i="2" s="1"/>
  <c r="V126" i="2"/>
  <c r="V93" i="1"/>
  <c r="O20" i="1"/>
  <c r="N20" i="1"/>
  <c r="M101" i="1"/>
  <c r="X101" i="1"/>
  <c r="Y101" i="1" s="1"/>
  <c r="M83" i="2"/>
  <c r="X83" i="2" s="1"/>
  <c r="Y83" i="2" s="1"/>
  <c r="V53" i="2"/>
  <c r="K53" i="2" s="1"/>
  <c r="K111" i="1"/>
  <c r="O99" i="1"/>
  <c r="N99" i="1"/>
  <c r="K68" i="1"/>
  <c r="O117" i="1"/>
  <c r="N117" i="1"/>
  <c r="M140" i="1"/>
  <c r="X140" i="1"/>
  <c r="Y140" i="1" s="1"/>
  <c r="M56" i="1"/>
  <c r="X56" i="1"/>
  <c r="Y56" i="1" s="1"/>
  <c r="M64" i="1"/>
  <c r="X64" i="1"/>
  <c r="Y64" i="1" s="1"/>
  <c r="Z162" i="1"/>
  <c r="Z163" i="1" s="1"/>
  <c r="O103" i="1"/>
  <c r="N103" i="1"/>
  <c r="X57" i="1"/>
  <c r="Y57" i="1" s="1"/>
  <c r="M57" i="1"/>
  <c r="K131" i="2"/>
  <c r="M75" i="2"/>
  <c r="X75" i="2" s="1"/>
  <c r="Y75" i="2" s="1"/>
  <c r="M132" i="1"/>
  <c r="X132" i="1"/>
  <c r="Y132" i="1" s="1"/>
  <c r="O80" i="1"/>
  <c r="N80" i="1"/>
  <c r="N39" i="1"/>
  <c r="O39" i="1"/>
  <c r="P39" i="1" s="1"/>
  <c r="Q39" i="1" s="1"/>
  <c r="N41" i="1"/>
  <c r="O41" i="1"/>
  <c r="P41" i="1" s="1"/>
  <c r="Q41" i="1" s="1"/>
  <c r="X21" i="2"/>
  <c r="Y21" i="2" s="1"/>
  <c r="M77" i="2"/>
  <c r="X77" i="2" s="1"/>
  <c r="Y77" i="2" s="1"/>
  <c r="M129" i="1"/>
  <c r="X129" i="1"/>
  <c r="Y129" i="1" s="1"/>
  <c r="K18" i="1"/>
  <c r="N69" i="1"/>
  <c r="O69" i="1"/>
  <c r="P69" i="1" s="1"/>
  <c r="Q69" i="1" s="1"/>
  <c r="M112" i="1"/>
  <c r="X112" i="1"/>
  <c r="Y112" i="1" s="1"/>
  <c r="O94" i="1"/>
  <c r="N94" i="1"/>
  <c r="N17" i="1"/>
  <c r="O17" i="1"/>
  <c r="P17" i="1" s="1"/>
  <c r="Q17" i="1" s="1"/>
  <c r="X66" i="1"/>
  <c r="Y66" i="1" s="1"/>
  <c r="M66" i="1"/>
  <c r="O63" i="2"/>
  <c r="X44" i="1"/>
  <c r="Y44" i="1" s="1"/>
  <c r="M44" i="1"/>
  <c r="Y56" i="2"/>
  <c r="N56" i="2" s="1"/>
  <c r="O131" i="1"/>
  <c r="P131" i="1" s="1"/>
  <c r="Q131" i="1" s="1"/>
  <c r="N131" i="1"/>
  <c r="M19" i="1"/>
  <c r="X19" i="1"/>
  <c r="Y19" i="1" s="1"/>
  <c r="V33" i="1"/>
  <c r="X40" i="1"/>
  <c r="Y40" i="1" s="1"/>
  <c r="M40" i="1"/>
  <c r="X30" i="1"/>
  <c r="Y30" i="1" s="1"/>
  <c r="M30" i="1"/>
  <c r="Y5" i="1"/>
  <c r="X5" i="1"/>
  <c r="M113" i="1"/>
  <c r="X113" i="1"/>
  <c r="Y113" i="1" s="1"/>
  <c r="M110" i="1"/>
  <c r="X110" i="1"/>
  <c r="Y110" i="1" s="1"/>
  <c r="X86" i="2"/>
  <c r="Y86" i="2" s="1"/>
  <c r="K89" i="1"/>
  <c r="AK3" i="2"/>
  <c r="AL2" i="2"/>
  <c r="X88" i="1"/>
  <c r="Y88" i="1" s="1"/>
  <c r="M88" i="1"/>
  <c r="O98" i="1"/>
  <c r="N98" i="1"/>
  <c r="M44" i="2"/>
  <c r="X44" i="2"/>
  <c r="Y44" i="2" s="1"/>
  <c r="V43" i="2"/>
  <c r="M67" i="1"/>
  <c r="X67" i="1"/>
  <c r="Y67" i="1" s="1"/>
  <c r="V142" i="1"/>
  <c r="K142" i="1" s="1"/>
  <c r="M73" i="2"/>
  <c r="X73" i="2" s="1"/>
  <c r="Y73" i="2"/>
  <c r="M139" i="1"/>
  <c r="X139" i="1"/>
  <c r="Y139" i="1" s="1"/>
  <c r="X50" i="1"/>
  <c r="Y50" i="1" s="1"/>
  <c r="M50" i="1"/>
  <c r="N51" i="1"/>
  <c r="O51" i="1"/>
  <c r="P51" i="1" s="1"/>
  <c r="Q51" i="1" s="1"/>
  <c r="K75" i="1"/>
  <c r="K83" i="1"/>
  <c r="X90" i="1"/>
  <c r="Y90" i="1" s="1"/>
  <c r="M90" i="1"/>
  <c r="X36" i="2"/>
  <c r="Y36" i="2" s="1"/>
  <c r="M36" i="2"/>
  <c r="X19" i="2"/>
  <c r="Y19" i="2" s="1"/>
  <c r="M19" i="2"/>
  <c r="K46" i="1"/>
  <c r="X37" i="1"/>
  <c r="Y37" i="1" s="1"/>
  <c r="M37" i="1"/>
  <c r="X112" i="2"/>
  <c r="Y112" i="2" s="1"/>
  <c r="M120" i="1"/>
  <c r="X120" i="1"/>
  <c r="Y120" i="1" s="1"/>
  <c r="X78" i="2"/>
  <c r="Y78" i="2" s="1"/>
  <c r="X91" i="2"/>
  <c r="Y91" i="2" s="1"/>
  <c r="M91" i="2"/>
  <c r="M67" i="2"/>
  <c r="X67" i="2" s="1"/>
  <c r="Y67" i="2" s="1"/>
  <c r="X140" i="2"/>
  <c r="Y140" i="2" s="1"/>
  <c r="AI7" i="2"/>
  <c r="X85" i="2"/>
  <c r="Y85" i="2" s="1"/>
  <c r="X70" i="2"/>
  <c r="Y70" i="2" s="1"/>
  <c r="X110" i="2"/>
  <c r="Y110" i="2" s="1"/>
  <c r="M17" i="2"/>
  <c r="X17" i="2"/>
  <c r="Y17" i="2" s="1"/>
  <c r="N29" i="1"/>
  <c r="O29" i="1"/>
  <c r="P29" i="1" s="1"/>
  <c r="Q29" i="1" s="1"/>
  <c r="X50" i="2"/>
  <c r="Y50" i="2" s="1"/>
  <c r="M50" i="2"/>
  <c r="X142" i="2"/>
  <c r="Y142" i="2" s="1"/>
  <c r="O68" i="2"/>
  <c r="O38" i="1"/>
  <c r="N38" i="1"/>
  <c r="M91" i="1"/>
  <c r="X91" i="1"/>
  <c r="Y91" i="1" s="1"/>
  <c r="V42" i="1"/>
  <c r="K42" i="1" s="1"/>
  <c r="M139" i="2"/>
  <c r="X139" i="2"/>
  <c r="Y139" i="2" s="1"/>
  <c r="M114" i="1"/>
  <c r="X114" i="1"/>
  <c r="Y114" i="1" s="1"/>
  <c r="X43" i="1"/>
  <c r="Y43" i="1" s="1"/>
  <c r="M43" i="1"/>
  <c r="B10" i="5"/>
  <c r="X114" i="2"/>
  <c r="Y114" i="2" s="1"/>
  <c r="M70" i="1"/>
  <c r="X70" i="1"/>
  <c r="Y70" i="1" s="1"/>
  <c r="K109" i="1"/>
  <c r="X117" i="2"/>
  <c r="Y117" i="2" s="1"/>
  <c r="X129" i="2"/>
  <c r="Y129" i="2" s="1"/>
  <c r="X62" i="2"/>
  <c r="Y62" i="2" s="1"/>
  <c r="V141" i="2"/>
  <c r="X128" i="2"/>
  <c r="Y128" i="2" s="1"/>
  <c r="X32" i="2"/>
  <c r="Y32" i="2" s="1"/>
  <c r="O35" i="1"/>
  <c r="N35" i="1"/>
  <c r="X120" i="2"/>
  <c r="Y120" i="2" s="1"/>
  <c r="X48" i="2"/>
  <c r="Y48" i="2" s="1"/>
  <c r="K12" i="1"/>
  <c r="B9" i="5"/>
  <c r="K22" i="2"/>
  <c r="M143" i="1"/>
  <c r="X143" i="1"/>
  <c r="Y143" i="1" s="1"/>
  <c r="X87" i="1"/>
  <c r="Y87" i="1" s="1"/>
  <c r="M87" i="1"/>
  <c r="X128" i="1"/>
  <c r="Y128" i="1" s="1"/>
  <c r="M128" i="1"/>
  <c r="M61" i="1"/>
  <c r="X61" i="1"/>
  <c r="Y61" i="1" s="1"/>
  <c r="N13" i="1"/>
  <c r="O13" i="1"/>
  <c r="P13" i="1" s="1"/>
  <c r="Q13" i="1" s="1"/>
  <c r="O77" i="1"/>
  <c r="P77" i="1" s="1"/>
  <c r="Q77" i="1" s="1"/>
  <c r="N77" i="1"/>
  <c r="X45" i="2"/>
  <c r="Y45" i="2" s="1"/>
  <c r="K106" i="1"/>
  <c r="X53" i="1"/>
  <c r="Y53" i="1" s="1"/>
  <c r="M53" i="1"/>
  <c r="N37" i="2" l="1"/>
  <c r="N103" i="2"/>
  <c r="P103" i="2" s="1"/>
  <c r="Q103" i="2" s="1"/>
  <c r="N55" i="2"/>
  <c r="P55" i="2" s="1"/>
  <c r="Q55" i="2" s="1"/>
  <c r="M69" i="2"/>
  <c r="X69" i="2" s="1"/>
  <c r="Y69" i="2" s="1"/>
  <c r="N69" i="2" s="1"/>
  <c r="X88" i="2"/>
  <c r="Y88" i="2" s="1"/>
  <c r="N88" i="2" s="1"/>
  <c r="X93" i="2"/>
  <c r="Y93" i="2" s="1"/>
  <c r="X101" i="2"/>
  <c r="Y101" i="2" s="1"/>
  <c r="M71" i="2"/>
  <c r="P68" i="2"/>
  <c r="Q68" i="2" s="1"/>
  <c r="P37" i="2"/>
  <c r="Q37" i="2" s="1"/>
  <c r="M80" i="2"/>
  <c r="X80" i="2" s="1"/>
  <c r="Y80" i="2" s="1"/>
  <c r="M18" i="2"/>
  <c r="O18" i="2" s="1"/>
  <c r="X18" i="2"/>
  <c r="Y18" i="2" s="1"/>
  <c r="N18" i="2" s="1"/>
  <c r="M111" i="2"/>
  <c r="X111" i="2"/>
  <c r="Y111" i="2" s="1"/>
  <c r="M61" i="2"/>
  <c r="X132" i="2"/>
  <c r="Y132" i="2" s="1"/>
  <c r="X135" i="2"/>
  <c r="Y135" i="2" s="1"/>
  <c r="M135" i="2"/>
  <c r="X41" i="2"/>
  <c r="Y41" i="2" s="1"/>
  <c r="M41" i="2"/>
  <c r="O41" i="2" s="1"/>
  <c r="M119" i="2"/>
  <c r="O119" i="2" s="1"/>
  <c r="N16" i="2"/>
  <c r="P16" i="2" s="1"/>
  <c r="Q16" i="2" s="1"/>
  <c r="N92" i="2"/>
  <c r="P92" i="2" s="1"/>
  <c r="Q92" i="2" s="1"/>
  <c r="O96" i="2"/>
  <c r="N96" i="2"/>
  <c r="P79" i="2"/>
  <c r="Q79" i="2" s="1"/>
  <c r="X143" i="2"/>
  <c r="Y143" i="2" s="1"/>
  <c r="X42" i="1"/>
  <c r="Y42" i="1" s="1"/>
  <c r="M42" i="1"/>
  <c r="X97" i="1"/>
  <c r="Y97" i="1" s="1"/>
  <c r="M97" i="1"/>
  <c r="M142" i="1"/>
  <c r="X142" i="1"/>
  <c r="Y142" i="1" s="1"/>
  <c r="M130" i="1"/>
  <c r="X130" i="1"/>
  <c r="Y130" i="1" s="1"/>
  <c r="X34" i="2"/>
  <c r="Y34" i="2" s="1"/>
  <c r="X141" i="2"/>
  <c r="Y141" i="2" s="1"/>
  <c r="M76" i="1"/>
  <c r="X76" i="1"/>
  <c r="Y76" i="1" s="1"/>
  <c r="O66" i="2"/>
  <c r="N66" i="2"/>
  <c r="M116" i="1"/>
  <c r="X116" i="1"/>
  <c r="Y116" i="1" s="1"/>
  <c r="O107" i="1"/>
  <c r="N107" i="1"/>
  <c r="O85" i="1"/>
  <c r="N85" i="1"/>
  <c r="O72" i="2"/>
  <c r="N72" i="2"/>
  <c r="N125" i="1"/>
  <c r="O125" i="1"/>
  <c r="N121" i="1"/>
  <c r="O121" i="1"/>
  <c r="O128" i="1"/>
  <c r="N128" i="1"/>
  <c r="O91" i="2"/>
  <c r="N91" i="2"/>
  <c r="P25" i="1"/>
  <c r="Q25" i="1" s="1"/>
  <c r="O14" i="2"/>
  <c r="N14" i="2"/>
  <c r="O52" i="1"/>
  <c r="P52" i="1" s="1"/>
  <c r="Q52" i="1" s="1"/>
  <c r="N52" i="1"/>
  <c r="O95" i="1"/>
  <c r="N95" i="1"/>
  <c r="X38" i="2"/>
  <c r="Y38" i="2" s="1"/>
  <c r="M38" i="2"/>
  <c r="O50" i="1"/>
  <c r="N50" i="1"/>
  <c r="O110" i="1"/>
  <c r="N110" i="1"/>
  <c r="P63" i="2"/>
  <c r="Q63" i="2" s="1"/>
  <c r="P117" i="1"/>
  <c r="Q117" i="1" s="1"/>
  <c r="O66" i="1"/>
  <c r="N66" i="1"/>
  <c r="X68" i="1"/>
  <c r="Y68" i="1" s="1"/>
  <c r="M68" i="1"/>
  <c r="N20" i="2"/>
  <c r="O20" i="2"/>
  <c r="P20" i="2" s="1"/>
  <c r="Q20" i="2" s="1"/>
  <c r="M93" i="1"/>
  <c r="X93" i="1"/>
  <c r="Y93" i="1" s="1"/>
  <c r="O45" i="1"/>
  <c r="N45" i="1"/>
  <c r="N99" i="2"/>
  <c r="O99" i="2"/>
  <c r="P99" i="2" s="1"/>
  <c r="Q99" i="2" s="1"/>
  <c r="X115" i="1"/>
  <c r="Y115" i="1" s="1"/>
  <c r="M115" i="1"/>
  <c r="M89" i="1"/>
  <c r="X89" i="1"/>
  <c r="Y89" i="1" s="1"/>
  <c r="N64" i="1"/>
  <c r="O64" i="1"/>
  <c r="P64" i="1" s="1"/>
  <c r="Q64" i="1" s="1"/>
  <c r="P28" i="1"/>
  <c r="Q28" i="1" s="1"/>
  <c r="N91" i="1"/>
  <c r="O91" i="1"/>
  <c r="P91" i="1" s="1"/>
  <c r="Q91" i="1" s="1"/>
  <c r="M72" i="1"/>
  <c r="X72" i="1"/>
  <c r="Y72" i="1" s="1"/>
  <c r="O140" i="1"/>
  <c r="P140" i="1" s="1"/>
  <c r="Q140" i="1" s="1"/>
  <c r="N140" i="1"/>
  <c r="N120" i="1"/>
  <c r="O120" i="1"/>
  <c r="P120" i="1" s="1"/>
  <c r="Q120" i="1" s="1"/>
  <c r="X43" i="2"/>
  <c r="Y43" i="2" s="1"/>
  <c r="O143" i="1"/>
  <c r="N143" i="1"/>
  <c r="O100" i="2"/>
  <c r="N100" i="2"/>
  <c r="O105" i="1"/>
  <c r="N105" i="1"/>
  <c r="O37" i="1"/>
  <c r="N37" i="1"/>
  <c r="P73" i="1"/>
  <c r="Q73" i="1" s="1"/>
  <c r="N84" i="2"/>
  <c r="O84" i="2"/>
  <c r="O83" i="2"/>
  <c r="N83" i="2"/>
  <c r="O137" i="1"/>
  <c r="N137" i="1"/>
  <c r="O57" i="1"/>
  <c r="P57" i="1" s="1"/>
  <c r="Q57" i="1" s="1"/>
  <c r="N57" i="1"/>
  <c r="N29" i="2"/>
  <c r="O29" i="2"/>
  <c r="M33" i="1"/>
  <c r="X33" i="1"/>
  <c r="Y33" i="1" s="1"/>
  <c r="N17" i="2"/>
  <c r="O17" i="2"/>
  <c r="P103" i="1"/>
  <c r="Q103" i="1" s="1"/>
  <c r="O62" i="1"/>
  <c r="P62" i="1" s="1"/>
  <c r="Q62" i="1" s="1"/>
  <c r="N62" i="1"/>
  <c r="O15" i="1"/>
  <c r="N15" i="1"/>
  <c r="O138" i="1"/>
  <c r="N138" i="1"/>
  <c r="O65" i="2"/>
  <c r="N65" i="2"/>
  <c r="O32" i="1"/>
  <c r="N32" i="1"/>
  <c r="X75" i="1"/>
  <c r="Y75" i="1" s="1"/>
  <c r="M75" i="1"/>
  <c r="O56" i="1"/>
  <c r="N56" i="1"/>
  <c r="N127" i="2"/>
  <c r="O127" i="2"/>
  <c r="N82" i="2"/>
  <c r="O82" i="2"/>
  <c r="P82" i="2" s="1"/>
  <c r="Q82" i="2" s="1"/>
  <c r="O42" i="2"/>
  <c r="N42" i="2"/>
  <c r="O26" i="1"/>
  <c r="P26" i="1" s="1"/>
  <c r="Q26" i="1" s="1"/>
  <c r="N26" i="1"/>
  <c r="O139" i="1"/>
  <c r="N139" i="1"/>
  <c r="P99" i="1"/>
  <c r="Q99" i="1" s="1"/>
  <c r="O126" i="1"/>
  <c r="N126" i="1"/>
  <c r="N73" i="2"/>
  <c r="O73" i="2"/>
  <c r="O113" i="1"/>
  <c r="N113" i="1"/>
  <c r="X127" i="1"/>
  <c r="Y127" i="1" s="1"/>
  <c r="M127" i="1"/>
  <c r="P94" i="1"/>
  <c r="Q94" i="1" s="1"/>
  <c r="M118" i="1"/>
  <c r="X118" i="1"/>
  <c r="Y118" i="1" s="1"/>
  <c r="O59" i="2"/>
  <c r="N59" i="2"/>
  <c r="N71" i="1"/>
  <c r="O71" i="1"/>
  <c r="X131" i="2"/>
  <c r="Y131" i="2" s="1"/>
  <c r="M131" i="2"/>
  <c r="O22" i="1"/>
  <c r="N22" i="1"/>
  <c r="O76" i="2"/>
  <c r="N76" i="2"/>
  <c r="X87" i="2"/>
  <c r="Y87" i="2" s="1"/>
  <c r="M87" i="2"/>
  <c r="X24" i="2"/>
  <c r="Y24" i="2" s="1"/>
  <c r="X18" i="1"/>
  <c r="Y18" i="1" s="1"/>
  <c r="M18" i="1"/>
  <c r="M58" i="2"/>
  <c r="X58" i="2"/>
  <c r="Y58" i="2" s="1"/>
  <c r="O40" i="2"/>
  <c r="N40" i="2"/>
  <c r="N74" i="2"/>
  <c r="O74" i="2"/>
  <c r="P84" i="1"/>
  <c r="Q84" i="1" s="1"/>
  <c r="N36" i="1"/>
  <c r="O36" i="1"/>
  <c r="P36" i="1" s="1"/>
  <c r="Q36" i="1" s="1"/>
  <c r="O114" i="1"/>
  <c r="N114" i="1"/>
  <c r="O36" i="2"/>
  <c r="N36" i="2"/>
  <c r="O19" i="1"/>
  <c r="N19" i="1"/>
  <c r="P20" i="1"/>
  <c r="Q20" i="1" s="1"/>
  <c r="N79" i="1"/>
  <c r="O79" i="1"/>
  <c r="P24" i="1"/>
  <c r="Q24" i="1" s="1"/>
  <c r="N14" i="1"/>
  <c r="O14" i="1"/>
  <c r="P14" i="1" s="1"/>
  <c r="Q14" i="1" s="1"/>
  <c r="O136" i="1"/>
  <c r="N136" i="1"/>
  <c r="O107" i="2"/>
  <c r="N107" i="2"/>
  <c r="O141" i="1"/>
  <c r="P141" i="1" s="1"/>
  <c r="Q141" i="1" s="1"/>
  <c r="N141" i="1"/>
  <c r="O77" i="2"/>
  <c r="N77" i="2"/>
  <c r="P54" i="1"/>
  <c r="Q54" i="1" s="1"/>
  <c r="O92" i="1"/>
  <c r="N92" i="1"/>
  <c r="P38" i="1"/>
  <c r="Q38" i="1" s="1"/>
  <c r="N44" i="1"/>
  <c r="O44" i="1"/>
  <c r="P44" i="1" s="1"/>
  <c r="Q44" i="1" s="1"/>
  <c r="M102" i="1"/>
  <c r="X102" i="1"/>
  <c r="Y102" i="1" s="1"/>
  <c r="O23" i="1"/>
  <c r="N23" i="1"/>
  <c r="O87" i="1"/>
  <c r="N87" i="1"/>
  <c r="N133" i="1"/>
  <c r="O133" i="1"/>
  <c r="P133" i="1" s="1"/>
  <c r="Q133" i="1" s="1"/>
  <c r="N57" i="2"/>
  <c r="O57" i="2"/>
  <c r="P57" i="2" s="1"/>
  <c r="Q57" i="2" s="1"/>
  <c r="X126" i="2"/>
  <c r="Y126" i="2" s="1"/>
  <c r="O115" i="2"/>
  <c r="N115" i="2"/>
  <c r="O50" i="2"/>
  <c r="N50" i="2"/>
  <c r="O70" i="1"/>
  <c r="N70" i="1"/>
  <c r="O67" i="1"/>
  <c r="N67" i="1"/>
  <c r="N30" i="1"/>
  <c r="O30" i="1"/>
  <c r="P30" i="1" s="1"/>
  <c r="Q30" i="1" s="1"/>
  <c r="O112" i="1"/>
  <c r="N112" i="1"/>
  <c r="X12" i="1"/>
  <c r="Y12" i="1" s="1"/>
  <c r="M12" i="1"/>
  <c r="N108" i="1"/>
  <c r="O108" i="1"/>
  <c r="P108" i="1" s="1"/>
  <c r="Q108" i="1" s="1"/>
  <c r="O88" i="2"/>
  <c r="N100" i="1"/>
  <c r="O100" i="1"/>
  <c r="P100" i="1" s="1"/>
  <c r="Q100" i="1" s="1"/>
  <c r="N39" i="2"/>
  <c r="O39" i="2"/>
  <c r="M46" i="1"/>
  <c r="X46" i="1"/>
  <c r="Y46" i="1" s="1"/>
  <c r="M106" i="1"/>
  <c r="X106" i="1"/>
  <c r="Y106" i="1" s="1"/>
  <c r="O19" i="2"/>
  <c r="N19" i="2"/>
  <c r="O129" i="1"/>
  <c r="N129" i="1"/>
  <c r="N88" i="1"/>
  <c r="O88" i="1"/>
  <c r="P88" i="1" s="1"/>
  <c r="Q88" i="1" s="1"/>
  <c r="P35" i="1"/>
  <c r="Q35" i="1" s="1"/>
  <c r="O104" i="2"/>
  <c r="N104" i="2"/>
  <c r="O49" i="1"/>
  <c r="N49" i="1"/>
  <c r="P21" i="1"/>
  <c r="Q21" i="1" s="1"/>
  <c r="O34" i="1"/>
  <c r="N34" i="1"/>
  <c r="O64" i="2"/>
  <c r="N64" i="2"/>
  <c r="N35" i="2"/>
  <c r="O35" i="2"/>
  <c r="N60" i="2"/>
  <c r="O60" i="2"/>
  <c r="O96" i="1"/>
  <c r="N96" i="1"/>
  <c r="X83" i="1"/>
  <c r="Y83" i="1" s="1"/>
  <c r="M83" i="1"/>
  <c r="X47" i="2"/>
  <c r="Y47" i="2" s="1"/>
  <c r="M63" i="1"/>
  <c r="X63" i="1"/>
  <c r="Y63" i="1" s="1"/>
  <c r="X134" i="1"/>
  <c r="Y134" i="1" s="1"/>
  <c r="M134" i="1"/>
  <c r="O61" i="1"/>
  <c r="P61" i="1" s="1"/>
  <c r="Q61" i="1" s="1"/>
  <c r="N61" i="1"/>
  <c r="X134" i="2"/>
  <c r="Y134" i="2" s="1"/>
  <c r="O86" i="1"/>
  <c r="N86" i="1"/>
  <c r="N67" i="2"/>
  <c r="O67" i="2"/>
  <c r="N123" i="1"/>
  <c r="O123" i="1"/>
  <c r="P123" i="1" s="1"/>
  <c r="Q123" i="1" s="1"/>
  <c r="N81" i="2"/>
  <c r="O81" i="2"/>
  <c r="P81" i="2" s="1"/>
  <c r="Q81" i="2" s="1"/>
  <c r="X53" i="2"/>
  <c r="Y53" i="2" s="1"/>
  <c r="M53" i="2"/>
  <c r="P80" i="1"/>
  <c r="Q80" i="1" s="1"/>
  <c r="X122" i="2"/>
  <c r="Y122" i="2" s="1"/>
  <c r="M111" i="1"/>
  <c r="X111" i="1"/>
  <c r="Y111" i="1" s="1"/>
  <c r="P16" i="1"/>
  <c r="Q16" i="1" s="1"/>
  <c r="M109" i="1"/>
  <c r="X109" i="1"/>
  <c r="Y109" i="1" s="1"/>
  <c r="N132" i="1"/>
  <c r="O132" i="1"/>
  <c r="P132" i="1" s="1"/>
  <c r="Q132" i="1" s="1"/>
  <c r="O27" i="1"/>
  <c r="N27" i="1"/>
  <c r="O95" i="2"/>
  <c r="N95" i="2"/>
  <c r="M22" i="2"/>
  <c r="X22" i="2"/>
  <c r="Y22" i="2" s="1"/>
  <c r="O75" i="2"/>
  <c r="N75" i="2"/>
  <c r="X23" i="2"/>
  <c r="Y23" i="2" s="1"/>
  <c r="M23" i="2"/>
  <c r="O122" i="1"/>
  <c r="N122" i="1"/>
  <c r="O81" i="1"/>
  <c r="N81" i="1"/>
  <c r="O53" i="1"/>
  <c r="N53" i="1"/>
  <c r="O40" i="1"/>
  <c r="N40" i="1"/>
  <c r="N31" i="1"/>
  <c r="O31" i="1"/>
  <c r="P31" i="1" s="1"/>
  <c r="Q31" i="1" s="1"/>
  <c r="O43" i="1"/>
  <c r="P43" i="1" s="1"/>
  <c r="Q43" i="1" s="1"/>
  <c r="N43" i="1"/>
  <c r="N44" i="2"/>
  <c r="O44" i="2"/>
  <c r="P44" i="2" s="1"/>
  <c r="Q44" i="2" s="1"/>
  <c r="O101" i="1"/>
  <c r="N101" i="1"/>
  <c r="N123" i="2"/>
  <c r="O123" i="2"/>
  <c r="P123" i="2" s="1"/>
  <c r="Q123" i="2" s="1"/>
  <c r="X94" i="2"/>
  <c r="Y94" i="2" s="1"/>
  <c r="P98" i="1"/>
  <c r="Q98" i="1" s="1"/>
  <c r="O60" i="1"/>
  <c r="N60" i="1"/>
  <c r="O139" i="2"/>
  <c r="N139" i="2"/>
  <c r="O90" i="1"/>
  <c r="P90" i="1" s="1"/>
  <c r="Q90" i="1" s="1"/>
  <c r="N90" i="1"/>
  <c r="O69" i="2"/>
  <c r="N119" i="1"/>
  <c r="O119" i="1"/>
  <c r="P119" i="1" s="1"/>
  <c r="Q119" i="1" s="1"/>
  <c r="P58" i="1"/>
  <c r="Q58" i="1" s="1"/>
  <c r="O135" i="1"/>
  <c r="N135" i="1"/>
  <c r="N104" i="1"/>
  <c r="O104" i="1"/>
  <c r="P104" i="1" s="1"/>
  <c r="Q104" i="1" s="1"/>
  <c r="N135" i="2" l="1"/>
  <c r="P39" i="2"/>
  <c r="Q39" i="2" s="1"/>
  <c r="X61" i="2"/>
  <c r="Y61" i="2" s="1"/>
  <c r="N61" i="2" s="1"/>
  <c r="O71" i="2"/>
  <c r="X71" i="2"/>
  <c r="Y71" i="2" s="1"/>
  <c r="N71" i="2" s="1"/>
  <c r="P17" i="2"/>
  <c r="Q17" i="2" s="1"/>
  <c r="P84" i="2"/>
  <c r="Q84" i="2" s="1"/>
  <c r="N111" i="2"/>
  <c r="N119" i="2"/>
  <c r="P119" i="2" s="1"/>
  <c r="Q119" i="2" s="1"/>
  <c r="P73" i="2"/>
  <c r="Q73" i="2" s="1"/>
  <c r="P36" i="2"/>
  <c r="Q36" i="2" s="1"/>
  <c r="O111" i="2"/>
  <c r="P111" i="2" s="1"/>
  <c r="Q111" i="2" s="1"/>
  <c r="P96" i="2"/>
  <c r="Q96" i="2" s="1"/>
  <c r="P115" i="2"/>
  <c r="Q115" i="2" s="1"/>
  <c r="P88" i="2"/>
  <c r="Q88" i="2" s="1"/>
  <c r="P107" i="2"/>
  <c r="Q107" i="2" s="1"/>
  <c r="O135" i="2"/>
  <c r="P135" i="2" s="1"/>
  <c r="Q135" i="2" s="1"/>
  <c r="N41" i="2"/>
  <c r="P41" i="2" s="1"/>
  <c r="Q41" i="2" s="1"/>
  <c r="O61" i="2"/>
  <c r="P18" i="2"/>
  <c r="Q18" i="2" s="1"/>
  <c r="P67" i="2"/>
  <c r="Q67" i="2" s="1"/>
  <c r="P35" i="2"/>
  <c r="Q35" i="2" s="1"/>
  <c r="O80" i="2"/>
  <c r="N80" i="2"/>
  <c r="P114" i="1"/>
  <c r="Q114" i="1" s="1"/>
  <c r="P138" i="1"/>
  <c r="Q138" i="1" s="1"/>
  <c r="P15" i="1"/>
  <c r="Q15" i="1" s="1"/>
  <c r="P74" i="2"/>
  <c r="Q74" i="2" s="1"/>
  <c r="P100" i="2"/>
  <c r="Q100" i="2" s="1"/>
  <c r="P45" i="1"/>
  <c r="Q45" i="1" s="1"/>
  <c r="P50" i="1"/>
  <c r="Q50" i="1" s="1"/>
  <c r="P121" i="1"/>
  <c r="Q121" i="1" s="1"/>
  <c r="P112" i="1"/>
  <c r="Q112" i="1" s="1"/>
  <c r="O89" i="1"/>
  <c r="N89" i="1"/>
  <c r="O106" i="1"/>
  <c r="N106" i="1"/>
  <c r="P22" i="1"/>
  <c r="Q22" i="1" s="1"/>
  <c r="P40" i="1"/>
  <c r="Q40" i="1" s="1"/>
  <c r="P105" i="1"/>
  <c r="Q105" i="1" s="1"/>
  <c r="P64" i="2"/>
  <c r="Q64" i="2" s="1"/>
  <c r="P34" i="1"/>
  <c r="Q34" i="1" s="1"/>
  <c r="P71" i="1"/>
  <c r="Q71" i="1" s="1"/>
  <c r="P139" i="1"/>
  <c r="Q139" i="1" s="1"/>
  <c r="P143" i="1"/>
  <c r="Q143" i="1" s="1"/>
  <c r="O93" i="1"/>
  <c r="P93" i="1" s="1"/>
  <c r="Q93" i="1" s="1"/>
  <c r="N93" i="1"/>
  <c r="P125" i="1"/>
  <c r="Q125" i="1" s="1"/>
  <c r="P66" i="2"/>
  <c r="Q66" i="2" s="1"/>
  <c r="P86" i="1"/>
  <c r="Q86" i="1" s="1"/>
  <c r="P110" i="1"/>
  <c r="Q110" i="1" s="1"/>
  <c r="P67" i="1"/>
  <c r="Q67" i="1" s="1"/>
  <c r="P60" i="1"/>
  <c r="Q60" i="1" s="1"/>
  <c r="P70" i="1"/>
  <c r="Q70" i="1" s="1"/>
  <c r="N38" i="2"/>
  <c r="O38" i="2"/>
  <c r="P38" i="2" s="1"/>
  <c r="Q38" i="2" s="1"/>
  <c r="P81" i="1"/>
  <c r="Q81" i="1" s="1"/>
  <c r="P104" i="2"/>
  <c r="Q104" i="2" s="1"/>
  <c r="N58" i="2"/>
  <c r="O58" i="2"/>
  <c r="P59" i="2"/>
  <c r="Q59" i="2" s="1"/>
  <c r="P42" i="2"/>
  <c r="Q42" i="2" s="1"/>
  <c r="P29" i="2"/>
  <c r="Q29" i="2" s="1"/>
  <c r="P19" i="2"/>
  <c r="Q19" i="2" s="1"/>
  <c r="P126" i="1"/>
  <c r="Q126" i="1" s="1"/>
  <c r="O63" i="1"/>
  <c r="N63" i="1"/>
  <c r="O23" i="2"/>
  <c r="N23" i="2"/>
  <c r="P50" i="2"/>
  <c r="Q50" i="2" s="1"/>
  <c r="P79" i="1"/>
  <c r="Q79" i="1" s="1"/>
  <c r="O118" i="1"/>
  <c r="N118" i="1"/>
  <c r="N68" i="1"/>
  <c r="O68" i="1"/>
  <c r="P68" i="1" s="1"/>
  <c r="Q68" i="1" s="1"/>
  <c r="P128" i="1"/>
  <c r="Q128" i="1" s="1"/>
  <c r="P139" i="2"/>
  <c r="Q139" i="2" s="1"/>
  <c r="P53" i="1"/>
  <c r="Q53" i="1" s="1"/>
  <c r="P40" i="2"/>
  <c r="Q40" i="2" s="1"/>
  <c r="P127" i="2"/>
  <c r="Q127" i="2" s="1"/>
  <c r="P95" i="2"/>
  <c r="Q95" i="2" s="1"/>
  <c r="P65" i="2"/>
  <c r="Q65" i="2" s="1"/>
  <c r="P37" i="1"/>
  <c r="Q37" i="1" s="1"/>
  <c r="P72" i="2"/>
  <c r="Q72" i="2" s="1"/>
  <c r="P56" i="1"/>
  <c r="Q56" i="1" s="1"/>
  <c r="P137" i="1"/>
  <c r="Q137" i="1" s="1"/>
  <c r="P85" i="1"/>
  <c r="Q85" i="1" s="1"/>
  <c r="N142" i="1"/>
  <c r="O142" i="1"/>
  <c r="P142" i="1" s="1"/>
  <c r="Q142" i="1" s="1"/>
  <c r="P77" i="2"/>
  <c r="Q77" i="2" s="1"/>
  <c r="O131" i="2"/>
  <c r="N131" i="2"/>
  <c r="O111" i="1"/>
  <c r="N111" i="1"/>
  <c r="O33" i="1"/>
  <c r="N33" i="1"/>
  <c r="O18" i="1"/>
  <c r="N18" i="1"/>
  <c r="O83" i="1"/>
  <c r="N83" i="1"/>
  <c r="O53" i="2"/>
  <c r="N53" i="2"/>
  <c r="P92" i="1"/>
  <c r="Q92" i="1" s="1"/>
  <c r="P96" i="1"/>
  <c r="Q96" i="1" s="1"/>
  <c r="O12" i="1"/>
  <c r="N12" i="1"/>
  <c r="N87" i="2"/>
  <c r="O87" i="2"/>
  <c r="O75" i="1"/>
  <c r="N75" i="1"/>
  <c r="O97" i="1"/>
  <c r="P97" i="1" s="1"/>
  <c r="Q97" i="1" s="1"/>
  <c r="N97" i="1"/>
  <c r="O115" i="1"/>
  <c r="N115" i="1"/>
  <c r="P87" i="1"/>
  <c r="Q87" i="1" s="1"/>
  <c r="P23" i="1"/>
  <c r="Q23" i="1" s="1"/>
  <c r="O109" i="1"/>
  <c r="N109" i="1"/>
  <c r="N46" i="1"/>
  <c r="O46" i="1"/>
  <c r="P46" i="1" s="1"/>
  <c r="Q46" i="1" s="1"/>
  <c r="O134" i="1"/>
  <c r="N134" i="1"/>
  <c r="N102" i="1"/>
  <c r="O102" i="1"/>
  <c r="P102" i="1" s="1"/>
  <c r="Q102" i="1" s="1"/>
  <c r="P136" i="1"/>
  <c r="Q136" i="1" s="1"/>
  <c r="O127" i="1"/>
  <c r="N127" i="1"/>
  <c r="P113" i="1"/>
  <c r="Q113" i="1" s="1"/>
  <c r="P83" i="2"/>
  <c r="Q83" i="2" s="1"/>
  <c r="P107" i="1"/>
  <c r="Q107" i="1" s="1"/>
  <c r="P27" i="1"/>
  <c r="Q27" i="1" s="1"/>
  <c r="P56" i="2"/>
  <c r="Q56" i="2" s="1"/>
  <c r="P95" i="1"/>
  <c r="Q95" i="1" s="1"/>
  <c r="P135" i="1"/>
  <c r="Q135" i="1" s="1"/>
  <c r="N72" i="1"/>
  <c r="O72" i="1"/>
  <c r="P72" i="1" s="1"/>
  <c r="Q72" i="1" s="1"/>
  <c r="N130" i="1"/>
  <c r="O130" i="1"/>
  <c r="P130" i="1" s="1"/>
  <c r="Q130" i="1" s="1"/>
  <c r="P75" i="2"/>
  <c r="Q75" i="2" s="1"/>
  <c r="P14" i="2"/>
  <c r="Q14" i="2" s="1"/>
  <c r="P101" i="1"/>
  <c r="Q101" i="1" s="1"/>
  <c r="P69" i="2"/>
  <c r="Q69" i="2" s="1"/>
  <c r="P19" i="1"/>
  <c r="Q19" i="1" s="1"/>
  <c r="O42" i="1"/>
  <c r="N42" i="1"/>
  <c r="P49" i="1"/>
  <c r="Q49" i="1" s="1"/>
  <c r="N76" i="1"/>
  <c r="O76" i="1"/>
  <c r="P122" i="1"/>
  <c r="Q122" i="1" s="1"/>
  <c r="P66" i="1"/>
  <c r="Q66" i="1" s="1"/>
  <c r="O22" i="2"/>
  <c r="N22" i="2"/>
  <c r="P60" i="2"/>
  <c r="Q60" i="2" s="1"/>
  <c r="P129" i="1"/>
  <c r="Q129" i="1" s="1"/>
  <c r="P76" i="2"/>
  <c r="Q76" i="2" s="1"/>
  <c r="P32" i="1"/>
  <c r="Q32" i="1" s="1"/>
  <c r="P91" i="2"/>
  <c r="Q91" i="2" s="1"/>
  <c r="O116" i="1"/>
  <c r="N116" i="1"/>
  <c r="P87" i="2" l="1"/>
  <c r="Q87" i="2" s="1"/>
  <c r="P71" i="2"/>
  <c r="Q71" i="2" s="1"/>
  <c r="P61" i="2"/>
  <c r="Q61" i="2" s="1"/>
  <c r="P80" i="2"/>
  <c r="Q80" i="2" s="1"/>
  <c r="P22" i="2"/>
  <c r="Q22" i="2" s="1"/>
  <c r="P134" i="1"/>
  <c r="Q134" i="1" s="1"/>
  <c r="P116" i="1"/>
  <c r="Q116" i="1" s="1"/>
  <c r="P127" i="1"/>
  <c r="Q127" i="1" s="1"/>
  <c r="P53" i="2"/>
  <c r="Q53" i="2" s="1"/>
  <c r="P23" i="2"/>
  <c r="Q23" i="2" s="1"/>
  <c r="Q147" i="2" s="1"/>
  <c r="P33" i="1"/>
  <c r="Q33" i="1" s="1"/>
  <c r="P115" i="1"/>
  <c r="Q115" i="1" s="1"/>
  <c r="P106" i="1"/>
  <c r="Q106" i="1" s="1"/>
  <c r="P111" i="1"/>
  <c r="Q111" i="1" s="1"/>
  <c r="P58" i="2"/>
  <c r="Q58" i="2" s="1"/>
  <c r="P118" i="1"/>
  <c r="Q118" i="1" s="1"/>
  <c r="P12" i="1"/>
  <c r="Q12" i="1" s="1"/>
  <c r="P109" i="1"/>
  <c r="Q109" i="1" s="1"/>
  <c r="P83" i="1"/>
  <c r="Q83" i="1" s="1"/>
  <c r="P18" i="1"/>
  <c r="Q18" i="1" s="1"/>
  <c r="P131" i="2"/>
  <c r="Q131" i="2" s="1"/>
  <c r="P75" i="1"/>
  <c r="Q75" i="1" s="1"/>
  <c r="P42" i="1"/>
  <c r="Q42" i="1" s="1"/>
  <c r="P89" i="1"/>
  <c r="Q89" i="1" s="1"/>
  <c r="Q149" i="1"/>
  <c r="P63" i="1"/>
  <c r="Q63" i="1" s="1"/>
  <c r="P76" i="1"/>
  <c r="Q76" i="1" s="1"/>
  <c r="Q148" i="2" l="1"/>
  <c r="Q149" i="2" s="1"/>
  <c r="R154" i="1"/>
  <c r="Q150" i="1"/>
  <c r="R155" i="1" s="1"/>
</calcChain>
</file>

<file path=xl/sharedStrings.xml><?xml version="1.0" encoding="utf-8"?>
<sst xmlns="http://schemas.openxmlformats.org/spreadsheetml/2006/main" count="1720" uniqueCount="148">
  <si>
    <t>08.01.2025</t>
  </si>
  <si>
    <r>
      <rPr>
        <b/>
        <sz val="11"/>
        <color rgb="FF000000"/>
        <rFont val="Arial Unicode MS"/>
        <family val="2"/>
      </rPr>
      <t>נספח ג</t>
    </r>
    <r>
      <rPr>
        <b/>
        <sz val="11"/>
        <color rgb="FF000000"/>
        <rFont val="Aptos Narrow"/>
        <family val="2"/>
      </rPr>
      <t xml:space="preserve">'4 </t>
    </r>
    <r>
      <rPr>
        <b/>
        <sz val="11"/>
        <color rgb="FF000000"/>
        <rFont val="Arial Unicode MS"/>
        <family val="2"/>
      </rPr>
      <t xml:space="preserve">לחוזה </t>
    </r>
    <r>
      <rPr>
        <b/>
        <sz val="11"/>
        <color rgb="FF000000"/>
        <rFont val="Aptos Narrow"/>
        <family val="2"/>
      </rPr>
      <t xml:space="preserve">- </t>
    </r>
    <r>
      <rPr>
        <b/>
        <sz val="11"/>
        <color rgb="FF000000"/>
        <rFont val="Arial Unicode MS"/>
        <family val="2"/>
      </rPr>
      <t>טיוטה</t>
    </r>
  </si>
  <si>
    <t>כמות חדרים</t>
  </si>
  <si>
    <r>
      <rPr>
        <b/>
        <sz val="11"/>
        <color rgb="FF000000"/>
        <rFont val="Arial Unicode MS"/>
        <family val="2"/>
      </rPr>
      <t>סה</t>
    </r>
    <r>
      <rPr>
        <b/>
        <sz val="11"/>
        <color rgb="FF000000"/>
        <rFont val="Aptos Narrow"/>
        <family val="2"/>
      </rPr>
      <t>"</t>
    </r>
    <r>
      <rPr>
        <b/>
        <sz val="11"/>
        <color rgb="FF000000"/>
        <rFont val="Arial Unicode MS"/>
        <family val="2"/>
      </rPr>
      <t>כ</t>
    </r>
  </si>
  <si>
    <t>דירות לשוק חופשי</t>
  </si>
  <si>
    <t>משתכן ביחידות</t>
  </si>
  <si>
    <t>משתכן באחוזים</t>
  </si>
  <si>
    <r>
      <rPr>
        <b/>
        <sz val="11"/>
        <color rgb="FF000000"/>
        <rFont val="Arial Unicode MS"/>
        <family val="2"/>
      </rPr>
      <t>ממוצע דירות קטנות</t>
    </r>
    <r>
      <rPr>
        <b/>
        <sz val="11"/>
        <color rgb="FF000000"/>
        <rFont val="Aptos Narrow"/>
        <family val="2"/>
      </rPr>
      <t xml:space="preserve">/ </t>
    </r>
    <r>
      <rPr>
        <b/>
        <sz val="11"/>
        <color rgb="FF000000"/>
        <rFont val="Arial Unicode MS"/>
        <family val="2"/>
      </rPr>
      <t>גדולות</t>
    </r>
  </si>
  <si>
    <r>
      <rPr>
        <b/>
        <sz val="11"/>
        <color rgb="FFFF0000"/>
        <rFont val="Arial Unicode MS"/>
        <family val="2"/>
      </rPr>
      <t>נספח ג</t>
    </r>
    <r>
      <rPr>
        <b/>
        <sz val="11"/>
        <color rgb="FFFF0000"/>
        <rFont val="Aptos Narrow"/>
        <family val="2"/>
      </rPr>
      <t xml:space="preserve">4 </t>
    </r>
    <r>
      <rPr>
        <b/>
        <sz val="11"/>
        <color rgb="FFFF0000"/>
        <rFont val="Arial Unicode MS"/>
        <family val="2"/>
      </rPr>
      <t xml:space="preserve">כפוף לתיקונים בהתאם להנחיות משרד הבינוי והשיכון או מי מטעמו </t>
    </r>
  </si>
  <si>
    <r>
      <rPr>
        <b/>
        <sz val="11"/>
        <color rgb="FF000000"/>
        <rFont val="Arial Unicode MS"/>
        <family val="2"/>
      </rPr>
      <t>שם ישוב</t>
    </r>
    <r>
      <rPr>
        <b/>
        <sz val="11"/>
        <color rgb="FF000000"/>
        <rFont val="Aptos Narrow"/>
        <family val="2"/>
      </rPr>
      <t>:</t>
    </r>
  </si>
  <si>
    <t xml:space="preserve">באר יעקב </t>
  </si>
  <si>
    <r>
      <rPr>
        <b/>
        <sz val="11"/>
        <color rgb="FF000000"/>
        <rFont val="Arial Unicode MS"/>
        <family val="2"/>
      </rPr>
      <t>מספר מתחם</t>
    </r>
    <r>
      <rPr>
        <b/>
        <sz val="11"/>
        <color rgb="FF000000"/>
        <rFont val="Aptos Narrow"/>
        <family val="2"/>
      </rPr>
      <t>:</t>
    </r>
  </si>
  <si>
    <r>
      <rPr>
        <b/>
        <sz val="11"/>
        <color rgb="FF000000"/>
        <rFont val="Arial Unicode MS"/>
        <family val="2"/>
      </rPr>
      <t>מספר יח</t>
    </r>
    <r>
      <rPr>
        <b/>
        <sz val="11"/>
        <color rgb="FF000000"/>
        <rFont val="Aptos Narrow"/>
        <family val="2"/>
      </rPr>
      <t>"</t>
    </r>
    <r>
      <rPr>
        <b/>
        <sz val="11"/>
        <color rgb="FF000000"/>
        <rFont val="Arial Unicode MS"/>
        <family val="2"/>
      </rPr>
      <t>ד במתחם</t>
    </r>
    <r>
      <rPr>
        <b/>
        <sz val="11"/>
        <color rgb="FF000000"/>
        <rFont val="Aptos Narrow"/>
        <family val="2"/>
      </rPr>
      <t>:</t>
    </r>
  </si>
  <si>
    <r>
      <rPr>
        <b/>
        <sz val="11"/>
        <color rgb="FF000000"/>
        <rFont val="Arial Unicode MS"/>
        <family val="2"/>
      </rPr>
      <t>מספר יח</t>
    </r>
    <r>
      <rPr>
        <b/>
        <sz val="11"/>
        <color rgb="FF000000"/>
        <rFont val="Aptos Narrow"/>
        <family val="2"/>
      </rPr>
      <t>"</t>
    </r>
    <r>
      <rPr>
        <b/>
        <sz val="11"/>
        <color rgb="FF000000"/>
        <rFont val="Arial Unicode MS"/>
        <family val="2"/>
      </rPr>
      <t>ד במחיר למשתכן</t>
    </r>
    <r>
      <rPr>
        <b/>
        <sz val="11"/>
        <color rgb="FF000000"/>
        <rFont val="Aptos Narrow"/>
        <family val="2"/>
      </rPr>
      <t>:</t>
    </r>
  </si>
  <si>
    <r>
      <rPr>
        <sz val="11"/>
        <rFont val="Arial Unicode MS"/>
        <family val="2"/>
      </rPr>
      <t>מחיר מ</t>
    </r>
    <r>
      <rPr>
        <sz val="11"/>
        <rFont val="Aptos Narrow"/>
        <family val="2"/>
      </rPr>
      <t>"</t>
    </r>
    <r>
      <rPr>
        <sz val="11"/>
        <rFont val="Arial Unicode MS"/>
        <family val="2"/>
      </rPr>
      <t>ר כולל מע</t>
    </r>
    <r>
      <rPr>
        <sz val="11"/>
        <rFont val="Aptos Narrow"/>
        <family val="2"/>
      </rPr>
      <t>"</t>
    </r>
    <r>
      <rPr>
        <sz val="11"/>
        <rFont val="Arial Unicode MS"/>
        <family val="2"/>
      </rPr>
      <t>מ בש</t>
    </r>
    <r>
      <rPr>
        <sz val="11"/>
        <rFont val="Aptos Narrow"/>
        <family val="2"/>
      </rPr>
      <t>"</t>
    </r>
    <r>
      <rPr>
        <sz val="11"/>
        <rFont val="Arial Unicode MS"/>
        <family val="2"/>
      </rPr>
      <t xml:space="preserve">ח </t>
    </r>
    <r>
      <rPr>
        <sz val="11"/>
        <rFont val="Aptos Narrow"/>
        <family val="2"/>
      </rPr>
      <t>(</t>
    </r>
    <r>
      <rPr>
        <sz val="11"/>
        <rFont val="Arial Unicode MS"/>
        <family val="2"/>
      </rPr>
      <t>ללא הצמדה</t>
    </r>
    <r>
      <rPr>
        <sz val="11"/>
        <rFont val="Aptos Narrow"/>
        <family val="2"/>
      </rPr>
      <t>):</t>
    </r>
  </si>
  <si>
    <r>
      <rPr>
        <sz val="11"/>
        <color rgb="FF000000"/>
        <rFont val="Arial Unicode MS"/>
        <family val="2"/>
      </rPr>
      <t>סה</t>
    </r>
    <r>
      <rPr>
        <sz val="11"/>
        <color rgb="FF000000"/>
        <rFont val="Aptos Narrow"/>
        <family val="2"/>
      </rPr>
      <t>"</t>
    </r>
    <r>
      <rPr>
        <sz val="11"/>
        <color rgb="FF000000"/>
        <rFont val="Arial Unicode MS"/>
        <family val="2"/>
      </rPr>
      <t>כ</t>
    </r>
  </si>
  <si>
    <r>
      <rPr>
        <b/>
        <sz val="11"/>
        <color rgb="FF000000"/>
        <rFont val="Arial Unicode MS"/>
        <family val="2"/>
      </rPr>
      <t>אחוז דירות מחיר למשתכן</t>
    </r>
    <r>
      <rPr>
        <b/>
        <sz val="11"/>
        <color rgb="FF000000"/>
        <rFont val="Aptos Narrow"/>
        <family val="2"/>
      </rPr>
      <t>:</t>
    </r>
  </si>
  <si>
    <t>מקדם הצמדה</t>
  </si>
  <si>
    <r>
      <rPr>
        <b/>
        <sz val="11"/>
        <rFont val="Arial Unicode MS"/>
        <family val="2"/>
      </rPr>
      <t>מספר</t>
    </r>
    <r>
      <rPr>
        <b/>
        <sz val="11"/>
        <rFont val="Aptos Narrow"/>
        <family val="2"/>
      </rPr>
      <t>/</t>
    </r>
    <r>
      <rPr>
        <b/>
        <sz val="11"/>
        <rFont val="Arial Unicode MS"/>
        <family val="2"/>
      </rPr>
      <t>שם מבנה</t>
    </r>
  </si>
  <si>
    <r>
      <rPr>
        <b/>
        <sz val="11"/>
        <rFont val="Arial Unicode MS"/>
        <family val="2"/>
      </rPr>
      <t>מספר מגרש בתב</t>
    </r>
    <r>
      <rPr>
        <b/>
        <sz val="11"/>
        <rFont val="Aptos Narrow"/>
        <family val="2"/>
      </rPr>
      <t>"</t>
    </r>
    <r>
      <rPr>
        <b/>
        <sz val="11"/>
        <rFont val="Arial Unicode MS"/>
        <family val="2"/>
      </rPr>
      <t>ע</t>
    </r>
  </si>
  <si>
    <t>מספר דירה</t>
  </si>
  <si>
    <r>
      <rPr>
        <b/>
        <sz val="11"/>
        <rFont val="Arial Unicode MS"/>
        <family val="2"/>
      </rPr>
      <t xml:space="preserve">טיפוס דירה </t>
    </r>
    <r>
      <rPr>
        <b/>
        <sz val="11"/>
        <rFont val="Aptos Narrow"/>
        <family val="2"/>
      </rPr>
      <t>(</t>
    </r>
    <r>
      <rPr>
        <b/>
        <sz val="11"/>
        <rFont val="Arial Unicode MS"/>
        <family val="2"/>
      </rPr>
      <t>תשריט</t>
    </r>
    <r>
      <rPr>
        <b/>
        <sz val="11"/>
        <rFont val="Aptos Narrow"/>
        <family val="2"/>
      </rPr>
      <t xml:space="preserve">) </t>
    </r>
  </si>
  <si>
    <t>קומה</t>
  </si>
  <si>
    <t>מספר חדרים</t>
  </si>
  <si>
    <r>
      <rPr>
        <b/>
        <sz val="11"/>
        <rFont val="Arial Unicode MS"/>
        <family val="2"/>
      </rPr>
      <t xml:space="preserve">שטח דירה </t>
    </r>
    <r>
      <rPr>
        <b/>
        <sz val="11"/>
        <rFont val="Aptos Narrow"/>
        <family val="2"/>
      </rPr>
      <t>(</t>
    </r>
    <r>
      <rPr>
        <b/>
        <sz val="11"/>
        <rFont val="Arial Unicode MS"/>
        <family val="2"/>
      </rPr>
      <t>מטר</t>
    </r>
    <r>
      <rPr>
        <b/>
        <sz val="11"/>
        <rFont val="Aptos Narrow"/>
        <family val="2"/>
      </rPr>
      <t>)</t>
    </r>
  </si>
  <si>
    <r>
      <rPr>
        <b/>
        <sz val="11"/>
        <rFont val="Arial Unicode MS"/>
        <family val="2"/>
      </rPr>
      <t>שטח מרפסת שמש ו</t>
    </r>
    <r>
      <rPr>
        <b/>
        <sz val="11"/>
        <rFont val="Aptos Narrow"/>
        <family val="2"/>
      </rPr>
      <t>/</t>
    </r>
    <r>
      <rPr>
        <b/>
        <sz val="11"/>
        <rFont val="Arial Unicode MS"/>
        <family val="2"/>
      </rPr>
      <t>או שטח גינה צמודה</t>
    </r>
  </si>
  <si>
    <t>שטח מחסן</t>
  </si>
  <si>
    <t>מספר חניות</t>
  </si>
  <si>
    <t>מחיר דירה
לפי
מחיר מ"ר עיקרי  בנוי ללא מקדמי קומות</t>
  </si>
  <si>
    <r>
      <rPr>
        <b/>
        <sz val="11"/>
        <rFont val="Arial Unicode MS"/>
        <family val="2"/>
      </rPr>
      <t xml:space="preserve">מכירה במסגרת מחיר מטרה </t>
    </r>
    <r>
      <rPr>
        <b/>
        <sz val="11"/>
        <rFont val="Aptos Narrow"/>
        <family val="2"/>
      </rPr>
      <t>(</t>
    </r>
    <r>
      <rPr>
        <b/>
        <sz val="11"/>
        <rFont val="Arial Unicode MS"/>
        <family val="2"/>
      </rPr>
      <t>כן</t>
    </r>
    <r>
      <rPr>
        <b/>
        <sz val="11"/>
        <rFont val="Aptos Narrow"/>
        <family val="2"/>
      </rPr>
      <t>/</t>
    </r>
    <r>
      <rPr>
        <b/>
        <sz val="11"/>
        <rFont val="Arial Unicode MS"/>
        <family val="2"/>
      </rPr>
      <t>לא</t>
    </r>
    <r>
      <rPr>
        <b/>
        <sz val="11"/>
        <rFont val="Aptos Narrow"/>
        <family val="2"/>
      </rPr>
      <t>)</t>
    </r>
  </si>
  <si>
    <r>
      <rPr>
        <b/>
        <sz val="11"/>
        <rFont val="Arial Unicode MS"/>
        <family val="2"/>
      </rPr>
      <t>חישוב מחיר דירה לאחר תוספת</t>
    </r>
    <r>
      <rPr>
        <b/>
        <sz val="11"/>
        <rFont val="Aptos Narrow"/>
        <family val="2"/>
      </rPr>
      <t>/</t>
    </r>
    <r>
      <rPr>
        <b/>
        <sz val="11"/>
        <rFont val="Arial Unicode MS"/>
        <family val="2"/>
      </rPr>
      <t xml:space="preserve">הפחת מקדמי קומות </t>
    </r>
  </si>
  <si>
    <r>
      <rPr>
        <b/>
        <sz val="11"/>
        <rFont val="Arial Unicode MS"/>
        <family val="2"/>
      </rPr>
      <t xml:space="preserve">מחיר דירת מחיר מטרה </t>
    </r>
    <r>
      <rPr>
        <b/>
        <sz val="11"/>
        <rFont val="Aptos Narrow"/>
        <family val="2"/>
      </rPr>
      <t>(</t>
    </r>
    <r>
      <rPr>
        <b/>
        <sz val="11"/>
        <rFont val="Arial Unicode MS"/>
        <family val="2"/>
      </rPr>
      <t xml:space="preserve">חישוב מחיר דירה לאחר הנחה של </t>
    </r>
    <r>
      <rPr>
        <b/>
        <sz val="11"/>
        <rFont val="Aptos Narrow"/>
        <family val="2"/>
      </rPr>
      <t xml:space="preserve">20% </t>
    </r>
    <r>
      <rPr>
        <b/>
        <sz val="11"/>
        <rFont val="Arial Unicode MS"/>
        <family val="2"/>
      </rPr>
      <t>עד ל</t>
    </r>
    <r>
      <rPr>
        <b/>
        <sz val="11"/>
        <rFont val="Aptos Narrow"/>
        <family val="2"/>
      </rPr>
      <t xml:space="preserve">300 </t>
    </r>
    <r>
      <rPr>
        <b/>
        <sz val="11"/>
        <rFont val="Arial Unicode MS"/>
        <family val="2"/>
      </rPr>
      <t>אש</t>
    </r>
    <r>
      <rPr>
        <b/>
        <sz val="11"/>
        <rFont val="Aptos Narrow"/>
        <family val="2"/>
      </rPr>
      <t>"</t>
    </r>
    <r>
      <rPr>
        <b/>
        <sz val="11"/>
        <rFont val="Arial Unicode MS"/>
        <family val="2"/>
      </rPr>
      <t>ח</t>
    </r>
    <r>
      <rPr>
        <b/>
        <sz val="11"/>
        <rFont val="Aptos Narrow"/>
        <family val="2"/>
      </rPr>
      <t>)</t>
    </r>
  </si>
  <si>
    <r>
      <rPr>
        <b/>
        <sz val="11"/>
        <rFont val="Arial Unicode MS"/>
        <family val="2"/>
      </rPr>
      <t xml:space="preserve">מחיר הדירה המעודכן </t>
    </r>
    <r>
      <rPr>
        <b/>
        <sz val="11"/>
        <rFont val="Aptos Narrow"/>
        <family val="2"/>
      </rPr>
      <t>(</t>
    </r>
    <r>
      <rPr>
        <b/>
        <sz val="11"/>
        <rFont val="Arial Unicode MS"/>
        <family val="2"/>
      </rPr>
      <t>מחיר דירה ללא הנחה כפול מקדם ההצמדה</t>
    </r>
    <r>
      <rPr>
        <b/>
        <sz val="11"/>
        <rFont val="Aptos Narrow"/>
        <family val="2"/>
      </rPr>
      <t>)</t>
    </r>
  </si>
  <si>
    <r>
      <rPr>
        <b/>
        <sz val="11"/>
        <rFont val="Arial Unicode MS"/>
        <family val="2"/>
      </rPr>
      <t xml:space="preserve">גובה ההנחה             </t>
    </r>
    <r>
      <rPr>
        <b/>
        <sz val="11"/>
        <rFont val="Aptos Narrow"/>
        <family val="2"/>
      </rPr>
      <t>(</t>
    </r>
    <r>
      <rPr>
        <b/>
        <sz val="11"/>
        <rFont val="Arial Unicode MS"/>
        <family val="2"/>
      </rPr>
      <t xml:space="preserve">מחיר הדירה המעודכן פחות מחיר דירת מחיר מטרה </t>
    </r>
    <r>
      <rPr>
        <b/>
        <sz val="11"/>
        <rFont val="Aptos Narrow"/>
        <family val="2"/>
      </rPr>
      <t>)</t>
    </r>
  </si>
  <si>
    <r>
      <rPr>
        <b/>
        <sz val="11"/>
        <rFont val="Arial Unicode MS"/>
        <family val="2"/>
      </rPr>
      <t xml:space="preserve">מחיר דירה סופי            </t>
    </r>
    <r>
      <rPr>
        <b/>
        <sz val="11"/>
        <rFont val="Aptos Narrow"/>
        <family val="2"/>
      </rPr>
      <t>(</t>
    </r>
    <r>
      <rPr>
        <b/>
        <sz val="11"/>
        <rFont val="Arial Unicode MS"/>
        <family val="2"/>
      </rPr>
      <t xml:space="preserve">אם ההפרש בעמודה </t>
    </r>
    <r>
      <rPr>
        <b/>
        <sz val="11"/>
        <rFont val="Aptos Narrow"/>
        <family val="2"/>
      </rPr>
      <t xml:space="preserve">W </t>
    </r>
    <r>
      <rPr>
        <b/>
        <sz val="11"/>
        <rFont val="Arial Unicode MS"/>
        <family val="2"/>
      </rPr>
      <t>גדול מ</t>
    </r>
    <r>
      <rPr>
        <b/>
        <sz val="11"/>
        <rFont val="Aptos Narrow"/>
        <family val="2"/>
      </rPr>
      <t xml:space="preserve">500 </t>
    </r>
    <r>
      <rPr>
        <b/>
        <sz val="11"/>
        <rFont val="Arial Unicode MS"/>
        <family val="2"/>
      </rPr>
      <t>אש</t>
    </r>
    <r>
      <rPr>
        <b/>
        <sz val="11"/>
        <rFont val="Aptos Narrow"/>
        <family val="2"/>
      </rPr>
      <t>"</t>
    </r>
    <r>
      <rPr>
        <b/>
        <sz val="11"/>
        <rFont val="Arial Unicode MS"/>
        <family val="2"/>
      </rPr>
      <t>ח יש להוסיף את ההפרש למחיר דירת מחיר מטרה</t>
    </r>
    <r>
      <rPr>
        <b/>
        <sz val="11"/>
        <rFont val="Aptos Narrow"/>
        <family val="2"/>
      </rPr>
      <t>)</t>
    </r>
  </si>
  <si>
    <t>הערות</t>
  </si>
  <si>
    <t xml:space="preserve">מחסן </t>
  </si>
  <si>
    <t>מרפסת / גינה
עד 30 מ"ר</t>
  </si>
  <si>
    <t>מרפסת / גינה
בין 31-60 מ"ר</t>
  </si>
  <si>
    <t>מרפסת / גינה
בין 61-120 מ"ר</t>
  </si>
  <si>
    <t>מרפסת / גינה
מעל 121 מ"ר</t>
  </si>
  <si>
    <r>
      <rPr>
        <b/>
        <sz val="11"/>
        <rFont val="Arial Unicode MS"/>
        <family val="2"/>
      </rPr>
      <t xml:space="preserve">הנחה </t>
    </r>
    <r>
      <rPr>
        <b/>
        <sz val="11"/>
        <rFont val="Aptos Narrow"/>
        <family val="2"/>
      </rPr>
      <t>20 %</t>
    </r>
  </si>
  <si>
    <t>הנחה  בפועל</t>
  </si>
  <si>
    <t>בדיקת חריגת שטח</t>
  </si>
  <si>
    <t>מקדם קומה</t>
  </si>
  <si>
    <r>
      <rPr>
        <sz val="11"/>
        <rFont val="Aptos Narrow"/>
        <family val="2"/>
      </rPr>
      <t>1 (</t>
    </r>
    <r>
      <rPr>
        <sz val="11"/>
        <rFont val="Arial Unicode MS"/>
        <family val="2"/>
      </rPr>
      <t>מירקמי</t>
    </r>
    <r>
      <rPr>
        <sz val="11"/>
        <rFont val="Aptos Narrow"/>
        <family val="2"/>
      </rPr>
      <t xml:space="preserve">) </t>
    </r>
  </si>
  <si>
    <t>GAN1</t>
  </si>
  <si>
    <t>לא</t>
  </si>
  <si>
    <t>דירת גן
מחסן מרתף -1</t>
  </si>
  <si>
    <t>GAN2</t>
  </si>
  <si>
    <t>דירת גן
מחסן מרתף -3</t>
  </si>
  <si>
    <t>J3</t>
  </si>
  <si>
    <r>
      <rPr>
        <sz val="11"/>
        <rFont val="Arial Unicode MS"/>
        <family val="2"/>
      </rPr>
      <t xml:space="preserve">מחסן מרתף </t>
    </r>
    <r>
      <rPr>
        <sz val="11"/>
        <rFont val="Aptos Narrow"/>
        <family val="2"/>
      </rPr>
      <t>-2</t>
    </r>
  </si>
  <si>
    <t>B4*</t>
  </si>
  <si>
    <t>כן</t>
  </si>
  <si>
    <r>
      <rPr>
        <sz val="11"/>
        <rFont val="Arial Unicode MS"/>
        <family val="2"/>
      </rPr>
      <t xml:space="preserve">מחסן מרתף </t>
    </r>
    <r>
      <rPr>
        <sz val="11"/>
        <rFont val="Aptos Narrow"/>
        <family val="2"/>
      </rPr>
      <t>-3</t>
    </r>
  </si>
  <si>
    <t>C5</t>
  </si>
  <si>
    <t>A3*</t>
  </si>
  <si>
    <r>
      <rPr>
        <sz val="11"/>
        <rFont val="Arial Unicode MS"/>
        <family val="2"/>
      </rPr>
      <t xml:space="preserve">מחסן מרתף </t>
    </r>
    <r>
      <rPr>
        <sz val="11"/>
        <rFont val="Aptos Narrow"/>
        <family val="2"/>
      </rPr>
      <t>-1</t>
    </r>
  </si>
  <si>
    <t>D3*</t>
  </si>
  <si>
    <t>E4*</t>
  </si>
  <si>
    <t>F4*</t>
  </si>
  <si>
    <t>G5</t>
  </si>
  <si>
    <t>H4*</t>
  </si>
  <si>
    <t>I6</t>
  </si>
  <si>
    <r>
      <rPr>
        <sz val="11"/>
        <rFont val="Aptos Narrow"/>
        <family val="2"/>
      </rPr>
      <t>2 (</t>
    </r>
    <r>
      <rPr>
        <sz val="11"/>
        <rFont val="Arial Unicode MS"/>
        <family val="2"/>
      </rPr>
      <t>מירקמי</t>
    </r>
    <r>
      <rPr>
        <sz val="11"/>
        <rFont val="Aptos Narrow"/>
        <family val="2"/>
      </rPr>
      <t>)</t>
    </r>
  </si>
  <si>
    <r>
      <rPr>
        <sz val="11"/>
        <rFont val="Arial Unicode MS"/>
        <family val="2"/>
      </rPr>
      <t>דירת גן
מחסן מרתף -</t>
    </r>
    <r>
      <rPr>
        <sz val="11"/>
        <rFont val="Aptos Narrow"/>
        <family val="2"/>
      </rPr>
      <t>3</t>
    </r>
  </si>
  <si>
    <r>
      <rPr>
        <sz val="11"/>
        <rFont val="Aptos Narrow"/>
        <family val="2"/>
      </rPr>
      <t>3 (</t>
    </r>
    <r>
      <rPr>
        <sz val="11"/>
        <rFont val="Arial Unicode MS"/>
        <family val="2"/>
      </rPr>
      <t>מגדל</t>
    </r>
    <r>
      <rPr>
        <sz val="11"/>
        <rFont val="Aptos Narrow"/>
        <family val="2"/>
      </rPr>
      <t>)</t>
    </r>
  </si>
  <si>
    <t>MA5*</t>
  </si>
  <si>
    <r>
      <rPr>
        <sz val="11"/>
        <rFont val="Arial Unicode MS"/>
        <family val="2"/>
      </rPr>
      <t xml:space="preserve">מחסן קומתי </t>
    </r>
    <r>
      <rPr>
        <sz val="11"/>
        <rFont val="Aptos Narrow"/>
        <family val="2"/>
      </rPr>
      <t>(</t>
    </r>
    <r>
      <rPr>
        <sz val="11"/>
        <rFont val="Arial Unicode MS"/>
        <family val="2"/>
      </rPr>
      <t>צמוד דירה</t>
    </r>
    <r>
      <rPr>
        <sz val="11"/>
        <rFont val="Aptos Narrow"/>
        <family val="2"/>
      </rPr>
      <t>)</t>
    </r>
  </si>
  <si>
    <t>MB4</t>
  </si>
  <si>
    <t>MC4*</t>
  </si>
  <si>
    <t>MD3*</t>
  </si>
  <si>
    <t>ME4</t>
  </si>
  <si>
    <t>MF5</t>
  </si>
  <si>
    <t>MH3</t>
  </si>
  <si>
    <t>MG5</t>
  </si>
  <si>
    <t>MI3</t>
  </si>
  <si>
    <t>MJ5</t>
  </si>
  <si>
    <r>
      <rPr>
        <sz val="11"/>
        <color rgb="FFFF0000"/>
        <rFont val="Aptos Narrow"/>
        <family val="2"/>
      </rPr>
      <t>3 (</t>
    </r>
    <r>
      <rPr>
        <sz val="11"/>
        <color rgb="FFFF0000"/>
        <rFont val="Arial Unicode MS"/>
        <family val="2"/>
      </rPr>
      <t>מגדל</t>
    </r>
    <r>
      <rPr>
        <sz val="11"/>
        <color rgb="FFFF0000"/>
        <rFont val="Aptos Narrow"/>
        <family val="2"/>
      </rPr>
      <t>)</t>
    </r>
  </si>
  <si>
    <t>MK4*</t>
  </si>
  <si>
    <r>
      <rPr>
        <sz val="11"/>
        <color rgb="FFFF0000"/>
        <rFont val="Arial Unicode MS"/>
        <family val="2"/>
      </rPr>
      <t xml:space="preserve">מחסן קומתי </t>
    </r>
    <r>
      <rPr>
        <sz val="11"/>
        <color rgb="FFFF0000"/>
        <rFont val="Aptos Narrow"/>
        <family val="2"/>
      </rPr>
      <t>(</t>
    </r>
    <r>
      <rPr>
        <sz val="11"/>
        <color rgb="FFFF0000"/>
        <rFont val="Arial Unicode MS"/>
        <family val="2"/>
      </rPr>
      <t>צמוד דירה</t>
    </r>
    <r>
      <rPr>
        <sz val="11"/>
        <color rgb="FFFF0000"/>
        <rFont val="Aptos Narrow"/>
        <family val="2"/>
      </rPr>
      <t>)</t>
    </r>
  </si>
  <si>
    <t>ML3</t>
  </si>
  <si>
    <t>MM6</t>
  </si>
  <si>
    <t>MN5.5</t>
  </si>
  <si>
    <r>
      <rPr>
        <sz val="11"/>
        <rFont val="Arial Unicode MS"/>
        <family val="2"/>
      </rPr>
      <t xml:space="preserve">מחסן במרתף </t>
    </r>
    <r>
      <rPr>
        <sz val="11"/>
        <rFont val="Aptos Narrow"/>
        <family val="2"/>
      </rPr>
      <t>-2</t>
    </r>
  </si>
  <si>
    <t>MO5</t>
  </si>
  <si>
    <t>MP5</t>
  </si>
  <si>
    <t>MQ6</t>
  </si>
  <si>
    <r>
      <rPr>
        <b/>
        <sz val="11"/>
        <color rgb="FF0E2841"/>
        <rFont val="Arial Unicode MS"/>
        <family val="2"/>
      </rPr>
      <t>סה</t>
    </r>
    <r>
      <rPr>
        <b/>
        <sz val="11"/>
        <color rgb="FF0E2841"/>
        <rFont val="Aptos Narrow"/>
        <family val="2"/>
      </rPr>
      <t>"</t>
    </r>
    <r>
      <rPr>
        <b/>
        <sz val="11"/>
        <color rgb="FF0E2841"/>
        <rFont val="Arial Unicode MS"/>
        <family val="2"/>
      </rPr>
      <t>כ שטח דירות מחיר למשתכן במתחם</t>
    </r>
  </si>
  <si>
    <t>מספר דירות מחיר למשתכן</t>
  </si>
  <si>
    <t>הכנסות מחיר מטרה</t>
  </si>
  <si>
    <t>שטח דירה ממוצע בבניין</t>
  </si>
  <si>
    <t>אחוז דירות מחיר למשתכן בבניין</t>
  </si>
  <si>
    <t>שטח דירה ממוצע במתחם</t>
  </si>
  <si>
    <t>אחוז דירות מחיר למשתכן</t>
  </si>
  <si>
    <t xml:space="preserve">הכנסות שוק חופשי </t>
  </si>
  <si>
    <r>
      <rPr>
        <b/>
        <sz val="11"/>
        <color rgb="FF0E2841"/>
        <rFont val="Arial Unicode MS"/>
        <family val="2"/>
      </rPr>
      <t>סה</t>
    </r>
    <r>
      <rPr>
        <b/>
        <sz val="11"/>
        <color rgb="FF0E2841"/>
        <rFont val="Aptos Narrow"/>
        <family val="2"/>
      </rPr>
      <t>"</t>
    </r>
    <r>
      <rPr>
        <b/>
        <sz val="11"/>
        <color rgb="FF0E2841"/>
        <rFont val="Arial Unicode MS"/>
        <family val="2"/>
      </rPr>
      <t>כ</t>
    </r>
  </si>
  <si>
    <t>הצהרה
אנו מצהירים שחישוב השטחים ומפרט הדירות לעיל בהתאם לדרישות מכרז מחיר למשתכן</t>
  </si>
  <si>
    <r>
      <rPr>
        <b/>
        <sz val="12"/>
        <color rgb="FF000000"/>
        <rFont val="Arial Unicode MS"/>
        <family val="2"/>
      </rPr>
      <t xml:space="preserve">                     יזם </t>
    </r>
    <r>
      <rPr>
        <b/>
        <sz val="12"/>
        <color rgb="FF000000"/>
        <rFont val="Aptos Narrow"/>
        <family val="2"/>
      </rPr>
      <t xml:space="preserve">/ </t>
    </r>
    <r>
      <rPr>
        <b/>
        <sz val="12"/>
        <color rgb="FF000000"/>
        <rFont val="Arial Unicode MS"/>
        <family val="2"/>
      </rPr>
      <t>קבלן                          אדריכל                              מודד                                 עו</t>
    </r>
    <r>
      <rPr>
        <b/>
        <sz val="12"/>
        <color rgb="FF000000"/>
        <rFont val="Aptos Narrow"/>
        <family val="2"/>
      </rPr>
      <t>"</t>
    </r>
    <r>
      <rPr>
        <b/>
        <sz val="12"/>
        <color rgb="FF000000"/>
        <rFont val="Arial Unicode MS"/>
        <family val="2"/>
      </rPr>
      <t xml:space="preserve">ד              </t>
    </r>
  </si>
  <si>
    <r>
      <rPr>
        <b/>
        <sz val="12"/>
        <color rgb="FF000000"/>
        <rFont val="Aptos Narrow"/>
        <family val="2"/>
      </rPr>
      <t xml:space="preserve">   
      </t>
    </r>
    <r>
      <rPr>
        <b/>
        <sz val="12"/>
        <color rgb="FF000000"/>
        <rFont val="Arial Unicode MS"/>
        <family val="2"/>
      </rPr>
      <t>תאריך</t>
    </r>
    <r>
      <rPr>
        <b/>
        <sz val="12"/>
        <color rgb="FF000000"/>
        <rFont val="Aptos Narrow"/>
        <family val="2"/>
      </rPr>
      <t xml:space="preserve">:       ______________     ______________        ________________     ________________
</t>
    </r>
    <r>
      <rPr>
        <b/>
        <sz val="12"/>
        <color theme="1"/>
        <rFont val="Aptos Narrow"/>
        <family val="2"/>
      </rPr>
      <t xml:space="preserve">
</t>
    </r>
    <r>
      <rPr>
        <b/>
        <sz val="12"/>
        <color rgb="FF000000"/>
        <rFont val="Aptos Narrow"/>
        <family val="2"/>
      </rPr>
      <t xml:space="preserve">      </t>
    </r>
    <r>
      <rPr>
        <b/>
        <sz val="12"/>
        <color rgb="FF000000"/>
        <rFont val="Arial Unicode MS"/>
        <family val="2"/>
      </rPr>
      <t>חתימה</t>
    </r>
    <r>
      <rPr>
        <b/>
        <sz val="12"/>
        <color rgb="FF000000"/>
        <rFont val="Aptos Narrow"/>
        <family val="2"/>
      </rPr>
      <t>:      ______________     ______________        ________________     ________________</t>
    </r>
  </si>
  <si>
    <t>דרום מערב</t>
  </si>
  <si>
    <t xml:space="preserve">צפון מערב מזרח </t>
  </si>
  <si>
    <t>דרום צפון</t>
  </si>
  <si>
    <t>תקין</t>
  </si>
  <si>
    <t>K5*</t>
  </si>
  <si>
    <t>D3</t>
  </si>
  <si>
    <t>E4</t>
  </si>
  <si>
    <t>F4</t>
  </si>
  <si>
    <t>דרום מערב מזרח</t>
  </si>
  <si>
    <t>דרום מערב צפון מזרח</t>
  </si>
  <si>
    <t>דרום מזרח</t>
  </si>
  <si>
    <t>צפון מזרח מערב</t>
  </si>
  <si>
    <t xml:space="preserve">צפון מזרח מערב </t>
  </si>
  <si>
    <t>מחסן מרתף -3</t>
  </si>
  <si>
    <t>מחסן מרתף -2</t>
  </si>
  <si>
    <t>L3</t>
  </si>
  <si>
    <t>דרום מזרח מכרב</t>
  </si>
  <si>
    <t>דרום מזרח צפון מערב</t>
  </si>
  <si>
    <t>דרום ממזרח</t>
  </si>
  <si>
    <t>צפון מערב</t>
  </si>
  <si>
    <t>צפון מזרח</t>
  </si>
  <si>
    <t>ME4*</t>
  </si>
  <si>
    <t>MR4</t>
  </si>
  <si>
    <r>
      <rPr>
        <b/>
        <sz val="16"/>
        <color rgb="FF000000"/>
        <rFont val="Arial Unicode MS"/>
        <family val="2"/>
      </rPr>
      <t xml:space="preserve">הצהרה
</t>
    </r>
    <r>
      <rPr>
        <sz val="12"/>
        <color rgb="FF000000"/>
        <rFont val="Arial Unicode MS"/>
        <family val="2"/>
      </rPr>
      <t>אנו מצהירים שחישוב השטחים ומפרט הדירות לעיל בהתאם לדרישות מכרז מחיר למשתכן</t>
    </r>
  </si>
  <si>
    <r>
      <rPr>
        <sz val="11"/>
        <color rgb="FF000000"/>
        <rFont val="Arial Unicode MS"/>
        <family val="2"/>
      </rPr>
      <t xml:space="preserve">החישוב אמור ללכת כך </t>
    </r>
    <r>
      <rPr>
        <sz val="11"/>
        <color rgb="FF000000"/>
        <rFont val="Aptos Narrow"/>
        <family val="2"/>
      </rPr>
      <t xml:space="preserve">20% </t>
    </r>
    <r>
      <rPr>
        <sz val="11"/>
        <color rgb="FF000000"/>
        <rFont val="Arial Unicode MS"/>
        <family val="2"/>
      </rPr>
      <t xml:space="preserve">יקרות ביותר לשוק חופשי כלומר </t>
    </r>
    <r>
      <rPr>
        <sz val="11"/>
        <color rgb="FF000000"/>
        <rFont val="Aptos Narrow"/>
        <family val="2"/>
      </rPr>
      <t xml:space="preserve">26 </t>
    </r>
    <r>
      <rPr>
        <sz val="11"/>
        <color rgb="FF000000"/>
        <rFont val="Arial Unicode MS"/>
        <family val="2"/>
      </rPr>
      <t>יח</t>
    </r>
    <r>
      <rPr>
        <sz val="11"/>
        <color rgb="FF000000"/>
        <rFont val="Aptos Narrow"/>
        <family val="2"/>
      </rPr>
      <t>"</t>
    </r>
    <r>
      <rPr>
        <sz val="11"/>
        <color rgb="FF000000"/>
        <rFont val="Arial Unicode MS"/>
        <family val="2"/>
      </rPr>
      <t xml:space="preserve">ד </t>
    </r>
    <r>
      <rPr>
        <sz val="11"/>
        <color rgb="FF000000"/>
        <rFont val="Aptos Narrow"/>
        <family val="2"/>
      </rPr>
      <t>(</t>
    </r>
    <r>
      <rPr>
        <sz val="11"/>
        <color rgb="FF000000"/>
        <rFont val="Arial Unicode MS"/>
        <family val="2"/>
      </rPr>
      <t>עיגלתי למטה</t>
    </r>
    <r>
      <rPr>
        <sz val="11"/>
        <color rgb="FF000000"/>
        <rFont val="Aptos Narrow"/>
        <family val="2"/>
      </rPr>
      <t>)</t>
    </r>
  </si>
  <si>
    <r>
      <rPr>
        <sz val="11"/>
        <color rgb="FF000000"/>
        <rFont val="Arial Unicode MS"/>
        <family val="2"/>
      </rPr>
      <t xml:space="preserve">נותרו עוד </t>
    </r>
    <r>
      <rPr>
        <sz val="11"/>
        <color rgb="FF000000"/>
        <rFont val="Aptos Narrow"/>
        <family val="2"/>
      </rPr>
      <t xml:space="preserve">40 </t>
    </r>
    <r>
      <rPr>
        <sz val="11"/>
        <color rgb="FF000000"/>
        <rFont val="Arial Unicode MS"/>
        <family val="2"/>
      </rPr>
      <t>דירות המיועדות לשוק החופשי</t>
    </r>
  </si>
  <si>
    <r>
      <rPr>
        <sz val="11"/>
        <color rgb="FF000000"/>
        <rFont val="Aptos Narrow"/>
        <family val="2"/>
      </rPr>
      <t xml:space="preserve">40 </t>
    </r>
    <r>
      <rPr>
        <sz val="11"/>
        <color rgb="FF000000"/>
        <rFont val="Arial Unicode MS"/>
        <family val="2"/>
      </rPr>
      <t xml:space="preserve">דירות נותרות חלקי </t>
    </r>
    <r>
      <rPr>
        <sz val="11"/>
        <color rgb="FF000000"/>
        <rFont val="Aptos Narrow"/>
        <family val="2"/>
      </rPr>
      <t xml:space="preserve">107 </t>
    </r>
    <r>
      <rPr>
        <sz val="11"/>
        <color rgb="FF000000"/>
        <rFont val="Arial Unicode MS"/>
        <family val="2"/>
      </rPr>
      <t xml:space="preserve">נותן </t>
    </r>
    <r>
      <rPr>
        <sz val="11"/>
        <color rgb="FF000000"/>
        <rFont val="Aptos Narrow"/>
        <family val="2"/>
      </rPr>
      <t>37%</t>
    </r>
  </si>
  <si>
    <r>
      <rPr>
        <b/>
        <sz val="11"/>
        <color rgb="FF000000"/>
        <rFont val="Arial Unicode MS"/>
        <family val="2"/>
      </rPr>
      <t xml:space="preserve">דירות לשוק חופשי </t>
    </r>
    <r>
      <rPr>
        <b/>
        <sz val="11"/>
        <color rgb="FF000000"/>
        <rFont val="Aptos Narrow"/>
        <family val="2"/>
      </rPr>
      <t>(</t>
    </r>
    <r>
      <rPr>
        <b/>
        <sz val="11"/>
        <color rgb="FF000000"/>
        <rFont val="Arial Unicode MS"/>
        <family val="2"/>
      </rPr>
      <t>במעוגל</t>
    </r>
    <r>
      <rPr>
        <b/>
        <sz val="11"/>
        <color rgb="FF000000"/>
        <rFont val="Aptos Narrow"/>
        <family val="2"/>
      </rPr>
      <t>)</t>
    </r>
  </si>
  <si>
    <r>
      <rPr>
        <b/>
        <sz val="11"/>
        <color rgb="FF000000"/>
        <rFont val="Arial Unicode MS"/>
        <family val="2"/>
      </rPr>
      <t xml:space="preserve">משתכן ביחידות </t>
    </r>
    <r>
      <rPr>
        <b/>
        <sz val="11"/>
        <color rgb="FF000000"/>
        <rFont val="Aptos Narrow"/>
        <family val="2"/>
      </rPr>
      <t>(</t>
    </r>
    <r>
      <rPr>
        <b/>
        <sz val="11"/>
        <color rgb="FF000000"/>
        <rFont val="Arial Unicode MS"/>
        <family val="2"/>
      </rPr>
      <t>במעוגל</t>
    </r>
    <r>
      <rPr>
        <b/>
        <sz val="11"/>
        <color rgb="FF000000"/>
        <rFont val="Aptos Narrow"/>
        <family val="2"/>
      </rPr>
      <t>)</t>
    </r>
  </si>
  <si>
    <t>מספר בניין</t>
  </si>
  <si>
    <t>יחס שוק חופשי</t>
  </si>
  <si>
    <t>אחוז מינמלי לשוק חופשי</t>
  </si>
  <si>
    <t>אחוז מקסימלי לשוק חופשי</t>
  </si>
  <si>
    <r>
      <rPr>
        <b/>
        <sz val="11"/>
        <color rgb="FF000000"/>
        <rFont val="Arial Unicode MS"/>
        <family val="2"/>
      </rPr>
      <t>אחוז יח</t>
    </r>
    <r>
      <rPr>
        <b/>
        <sz val="11"/>
        <color rgb="FF000000"/>
        <rFont val="Aptos Narrow"/>
        <family val="2"/>
      </rPr>
      <t>"</t>
    </r>
    <r>
      <rPr>
        <b/>
        <sz val="11"/>
        <color rgb="FF000000"/>
        <rFont val="Arial Unicode MS"/>
        <family val="2"/>
      </rPr>
      <t>ד שוק חופשי</t>
    </r>
  </si>
  <si>
    <r>
      <rPr>
        <b/>
        <sz val="11"/>
        <color rgb="FF000000"/>
        <rFont val="Arial Unicode MS"/>
        <family val="2"/>
      </rPr>
      <t>אחוז יח</t>
    </r>
    <r>
      <rPr>
        <b/>
        <sz val="11"/>
        <color rgb="FF000000"/>
        <rFont val="Aptos Narrow"/>
        <family val="2"/>
      </rPr>
      <t>"</t>
    </r>
    <r>
      <rPr>
        <b/>
        <sz val="11"/>
        <color rgb="FF000000"/>
        <rFont val="Arial Unicode MS"/>
        <family val="2"/>
      </rPr>
      <t>ד משתכן</t>
    </r>
  </si>
  <si>
    <r>
      <rPr>
        <b/>
        <sz val="11"/>
        <color rgb="FF000000"/>
        <rFont val="Arial Unicode MS"/>
        <family val="2"/>
      </rPr>
      <t>יח</t>
    </r>
    <r>
      <rPr>
        <b/>
        <sz val="11"/>
        <color rgb="FF000000"/>
        <rFont val="Aptos Narrow"/>
        <family val="2"/>
      </rPr>
      <t>"</t>
    </r>
    <r>
      <rPr>
        <b/>
        <sz val="11"/>
        <color rgb="FF000000"/>
        <rFont val="Arial Unicode MS"/>
        <family val="2"/>
      </rPr>
      <t>ד משתכן</t>
    </r>
  </si>
  <si>
    <r>
      <rPr>
        <b/>
        <sz val="11"/>
        <color rgb="FF000000"/>
        <rFont val="Arial Unicode MS"/>
        <family val="2"/>
      </rPr>
      <t>יח</t>
    </r>
    <r>
      <rPr>
        <b/>
        <sz val="11"/>
        <color rgb="FF000000"/>
        <rFont val="Aptos Narrow"/>
        <family val="2"/>
      </rPr>
      <t>"</t>
    </r>
    <r>
      <rPr>
        <b/>
        <sz val="11"/>
        <color rgb="FF000000"/>
        <rFont val="Arial Unicode MS"/>
        <family val="2"/>
      </rPr>
      <t>ד שוק חופשי</t>
    </r>
  </si>
  <si>
    <r>
      <rPr>
        <b/>
        <sz val="11"/>
        <color rgb="FF000000"/>
        <rFont val="Arial Unicode MS"/>
        <family val="2"/>
      </rPr>
      <t>סה</t>
    </r>
    <r>
      <rPr>
        <b/>
        <sz val="11"/>
        <color rgb="FF000000"/>
        <rFont val="Aptos Narrow"/>
        <family val="2"/>
      </rPr>
      <t>"</t>
    </r>
    <r>
      <rPr>
        <b/>
        <sz val="11"/>
        <color rgb="FF000000"/>
        <rFont val="Arial Unicode MS"/>
        <family val="2"/>
      </rPr>
      <t>כ דירות</t>
    </r>
  </si>
  <si>
    <r>
      <rPr>
        <b/>
        <sz val="14"/>
        <color rgb="FFFF0000"/>
        <rFont val="Arial Unicode MS"/>
        <family val="2"/>
      </rPr>
      <t>סה</t>
    </r>
    <r>
      <rPr>
        <b/>
        <sz val="14"/>
        <color rgb="FFFF0000"/>
        <rFont val="Aptos Narrow"/>
        <family val="2"/>
      </rPr>
      <t>"</t>
    </r>
    <r>
      <rPr>
        <b/>
        <sz val="14"/>
        <color rgb="FFFF0000"/>
        <rFont val="Arial Unicode MS"/>
        <family val="2"/>
      </rPr>
      <t>כ</t>
    </r>
  </si>
  <si>
    <t>אחוז שוק חופשי במתחם</t>
  </si>
  <si>
    <t>מספר/שם מבנה</t>
  </si>
  <si>
    <t>מספר מגרש בתב"ע</t>
  </si>
  <si>
    <t xml:space="preserve">1 (מירקמי) </t>
  </si>
  <si>
    <t>2 (מירקמי)</t>
  </si>
  <si>
    <t>3 (מגדל)</t>
  </si>
  <si>
    <t>שם קבלן:</t>
  </si>
  <si>
    <t>אבני דרך באר יעקב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</si>
</sst>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₪ &quot;* #,##0.00_ ;_ &quot;₪ &quot;* \-#,##0.00_ ;_ &quot;₪ &quot;* \-??_ ;_ @_ "/>
    <numFmt numFmtId="165" formatCode="0.0%"/>
    <numFmt numFmtId="166" formatCode="_ &quot;₪ &quot;* #,##0_ ;_ &quot;₪ &quot;* \-#,##0_ ;_ &quot;₪ &quot;* \-??_ ;_ @_ "/>
    <numFmt numFmtId="167" formatCode="mm/dd/yyyy"/>
    <numFmt numFmtId="168" formatCode="&quot;TRUE&quot;;&quot;TRUE&quot;;&quot;FALSE&quot;"/>
    <numFmt numFmtId="169" formatCode="0.0"/>
    <numFmt numFmtId="170" formatCode="_ * #,##0.00_ ;_ * \-#,##0.00_ ;_ * \-??_ ;_ @_ "/>
  </numFmts>
  <fonts count="64" x14ac:knownFonts="1">
    <font>
      <sz val="11"/>
      <color theme="1"/>
      <name val="Aptos Narrow"/>
      <family val="2"/>
    </font>
    <font>
      <sz val="16"/>
      <color theme="1"/>
      <name val="Aptos Narrow"/>
      <family val="2"/>
    </font>
    <font>
      <b/>
      <u/>
      <sz val="18"/>
      <color theme="1"/>
      <name val="Aptos Narrow"/>
      <family val="2"/>
    </font>
    <font>
      <b/>
      <u/>
      <sz val="14"/>
      <color theme="1"/>
      <name val="Aptos Narrow"/>
      <family val="2"/>
    </font>
    <font>
      <b/>
      <sz val="11"/>
      <color rgb="FF000000"/>
      <name val="Arial Unicode MS"/>
      <family val="2"/>
    </font>
    <font>
      <b/>
      <sz val="11"/>
      <color rgb="FF000000"/>
      <name val="Aptos Narrow"/>
      <family val="2"/>
    </font>
    <font>
      <b/>
      <sz val="11"/>
      <color theme="1"/>
      <name val="Arial Unicode MS"/>
      <family val="2"/>
    </font>
    <font>
      <b/>
      <sz val="11"/>
      <color rgb="FFFF0000"/>
      <name val="Arial Unicode MS"/>
      <family val="2"/>
    </font>
    <font>
      <b/>
      <sz val="11"/>
      <color rgb="FFFF0000"/>
      <name val="Aptos Narrow"/>
      <family val="2"/>
    </font>
    <font>
      <b/>
      <sz val="11"/>
      <color theme="1"/>
      <name val="Aptos Narrow"/>
      <family val="2"/>
    </font>
    <font>
      <b/>
      <u/>
      <sz val="14"/>
      <color theme="3"/>
      <name val="Aptos Narrow"/>
      <family val="2"/>
    </font>
    <font>
      <sz val="11"/>
      <name val="Arial Unicode MS"/>
      <family val="2"/>
    </font>
    <font>
      <sz val="11"/>
      <name val="Aptos Narrow"/>
      <family val="2"/>
    </font>
    <font>
      <b/>
      <sz val="11"/>
      <color theme="3"/>
      <name val="Aptos Narrow"/>
      <family val="2"/>
    </font>
    <font>
      <sz val="11"/>
      <color rgb="FF000000"/>
      <name val="Arial Unicode MS"/>
      <family val="2"/>
    </font>
    <font>
      <sz val="11"/>
      <color rgb="FF000000"/>
      <name val="Aptos Narrow"/>
      <family val="2"/>
    </font>
    <font>
      <sz val="10"/>
      <color theme="1"/>
      <name val="Arial"/>
      <family val="2"/>
    </font>
    <font>
      <b/>
      <sz val="11"/>
      <name val="Arial Unicode MS"/>
      <family val="2"/>
    </font>
    <font>
      <b/>
      <sz val="11"/>
      <name val="Aptos Narrow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FF0000"/>
      <name val="Aptos Narrow"/>
      <family val="2"/>
    </font>
    <font>
      <sz val="11"/>
      <color rgb="FFFF0000"/>
      <name val="Arial Unicode MS"/>
      <family val="2"/>
    </font>
    <font>
      <b/>
      <sz val="11"/>
      <color rgb="FF0E2841"/>
      <name val="Arial Unicode MS"/>
      <family val="2"/>
    </font>
    <font>
      <b/>
      <sz val="11"/>
      <color rgb="FF0E2841"/>
      <name val="Aptos Narrow"/>
      <family val="2"/>
    </font>
    <font>
      <b/>
      <sz val="11"/>
      <color theme="3"/>
      <name val="Arial Unicode MS"/>
      <family val="2"/>
    </font>
    <font>
      <sz val="11"/>
      <color theme="3"/>
      <name val="Aptos Narrow"/>
      <family val="2"/>
    </font>
    <font>
      <b/>
      <sz val="11"/>
      <color theme="1"/>
      <name val="Calibri"/>
      <family val="2"/>
    </font>
    <font>
      <b/>
      <sz val="16"/>
      <color theme="1"/>
      <name val="Arial Unicode MS"/>
      <family val="2"/>
    </font>
    <font>
      <sz val="12"/>
      <color theme="1"/>
      <name val="Aptos Narrow"/>
      <family val="2"/>
    </font>
    <font>
      <b/>
      <sz val="12"/>
      <color rgb="FF000000"/>
      <name val="Arial Unicode MS"/>
      <family val="2"/>
    </font>
    <font>
      <b/>
      <sz val="12"/>
      <color rgb="FF000000"/>
      <name val="Aptos Narrow"/>
      <family val="2"/>
    </font>
    <font>
      <b/>
      <sz val="12"/>
      <color theme="1"/>
      <name val="Aptos Narrow"/>
      <family val="2"/>
    </font>
    <font>
      <sz val="11"/>
      <color theme="1"/>
      <name val="Aptos Narrow"/>
      <family val="2"/>
    </font>
    <font>
      <sz val="11"/>
      <color rgb="FFC9211E"/>
      <name val="Aptos Narrow"/>
      <family val="2"/>
    </font>
    <font>
      <b/>
      <sz val="11"/>
      <color theme="1"/>
      <name val="Aptos Narrow"/>
      <family val="2"/>
    </font>
    <font>
      <b/>
      <sz val="11"/>
      <color rgb="FFC9211E"/>
      <name val="Aptos Narrow"/>
      <family val="2"/>
    </font>
    <font>
      <sz val="11"/>
      <color theme="1"/>
      <name val="Arial Unicode MS"/>
      <family val="2"/>
    </font>
    <font>
      <b/>
      <sz val="11"/>
      <color rgb="FFC9211E"/>
      <name val="Arial Unicode MS"/>
      <family val="2"/>
    </font>
    <font>
      <sz val="10"/>
      <color theme="1"/>
      <name val="Arial"/>
      <family val="2"/>
    </font>
    <font>
      <sz val="10"/>
      <color rgb="FFC9211E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 Unicode MS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6"/>
      <color rgb="FF000000"/>
      <name val="Arial Unicode MS"/>
      <family val="2"/>
    </font>
    <font>
      <sz val="12"/>
      <color rgb="FF000000"/>
      <name val="Arial Unicode MS"/>
      <family val="2"/>
    </font>
    <font>
      <b/>
      <sz val="16"/>
      <color theme="1"/>
      <name val="Arial Unicode MS"/>
      <family val="2"/>
    </font>
    <font>
      <b/>
      <sz val="16"/>
      <color rgb="FFC9211E"/>
      <name val="Arial Unicode MS"/>
      <family val="2"/>
    </font>
    <font>
      <sz val="12"/>
      <name val="Aptos Narrow"/>
      <family val="2"/>
    </font>
    <font>
      <sz val="12"/>
      <color theme="1"/>
      <name val="Aptos Narrow"/>
      <family val="2"/>
    </font>
    <font>
      <sz val="12"/>
      <color rgb="FFC9211E"/>
      <name val="Aptos Narrow"/>
      <family val="2"/>
    </font>
    <font>
      <b/>
      <sz val="12"/>
      <color theme="1"/>
      <name val="Arial Unicode MS"/>
      <family val="2"/>
    </font>
    <font>
      <b/>
      <sz val="12"/>
      <color rgb="FFC9211E"/>
      <name val="Arial Unicode MS"/>
      <family val="2"/>
    </font>
    <font>
      <b/>
      <sz val="12"/>
      <name val="Aptos Narrow"/>
      <family val="2"/>
    </font>
    <font>
      <b/>
      <sz val="12"/>
      <color theme="1"/>
      <name val="Aptos Narrow"/>
      <family val="2"/>
    </font>
    <font>
      <b/>
      <sz val="12"/>
      <color rgb="FFC9211E"/>
      <name val="Aptos Narrow"/>
      <family val="2"/>
    </font>
    <font>
      <b/>
      <sz val="14"/>
      <color theme="1"/>
      <name val="Aptos Narrow"/>
      <family val="2"/>
    </font>
    <font>
      <b/>
      <sz val="14"/>
      <color rgb="FFFF0000"/>
      <name val="Arial Unicode MS"/>
      <family val="2"/>
    </font>
    <font>
      <b/>
      <sz val="14"/>
      <color rgb="FFFF0000"/>
      <name val="Aptos Narrow"/>
      <family val="2"/>
    </font>
    <font>
      <b/>
      <sz val="11"/>
      <color theme="0"/>
      <name val="Arial Unicode MS"/>
      <family val="2"/>
    </font>
    <font>
      <b/>
      <sz val="11"/>
      <color theme="0"/>
      <name val="Aptos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6EFCE"/>
        <bgColor rgb="FFCCFFFF"/>
      </patternFill>
    </fill>
    <fill>
      <patternFill patternType="solid">
        <fgColor rgb="FFFFC7CE"/>
        <bgColor rgb="FFCCCCFF"/>
      </patternFill>
    </fill>
    <fill>
      <patternFill patternType="solid">
        <fgColor rgb="FFCCFF66"/>
        <bgColor rgb="FFC6EFCE"/>
      </patternFill>
    </fill>
    <fill>
      <patternFill patternType="solid">
        <fgColor theme="5" tint="0.39988402966399123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theme="6" tint="0.39988402966399123"/>
        <bgColor rgb="FF4EA72E"/>
      </patternFill>
    </fill>
    <fill>
      <patternFill patternType="solid">
        <fgColor theme="9"/>
        <bgColor rgb="FF47D45A"/>
      </patternFill>
    </fill>
    <fill>
      <patternFill patternType="solid">
        <fgColor rgb="FFFFC000"/>
        <bgColor rgb="FFFF9900"/>
      </patternFill>
    </fill>
    <fill>
      <patternFill patternType="solid">
        <fgColor theme="0"/>
        <bgColor rgb="FFFFFFCC"/>
      </patternFill>
    </fill>
    <fill>
      <patternFill patternType="solid">
        <fgColor theme="4" tint="0.59987182226020086"/>
        <bgColor rgb="FFB2B2B2"/>
      </patternFill>
    </fill>
    <fill>
      <patternFill patternType="solid">
        <fgColor rgb="FFFF0000"/>
        <bgColor rgb="FFC9211E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B2B2B2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/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auto="1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70" fontId="33" fillId="0" borderId="0" applyBorder="0" applyProtection="0"/>
    <xf numFmtId="164" fontId="33" fillId="0" borderId="0" applyBorder="0" applyProtection="0"/>
    <xf numFmtId="9" fontId="33" fillId="0" borderId="0" applyBorder="0" applyProtection="0"/>
    <xf numFmtId="164" fontId="33" fillId="0" borderId="0" applyBorder="0" applyProtection="0"/>
    <xf numFmtId="0" fontId="33" fillId="2" borderId="1" applyProtection="0"/>
    <xf numFmtId="0" fontId="19" fillId="3" borderId="0" applyBorder="0" applyProtection="0"/>
    <xf numFmtId="0" fontId="19" fillId="4" borderId="0" applyBorder="0" applyProtection="0"/>
    <xf numFmtId="0" fontId="33" fillId="3" borderId="0" applyBorder="0" applyProtection="0"/>
  </cellStyleXfs>
  <cellXfs count="424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5" borderId="3" xfId="0" applyFont="1" applyFill="1" applyBorder="1" applyProtection="1">
      <protection locked="0"/>
    </xf>
    <xf numFmtId="0" fontId="4" fillId="5" borderId="4" xfId="0" applyFont="1" applyFill="1" applyBorder="1" applyProtection="1">
      <protection locked="0"/>
    </xf>
    <xf numFmtId="166" fontId="6" fillId="5" borderId="4" xfId="4" applyNumberFormat="1" applyFont="1" applyFill="1" applyBorder="1" applyAlignment="1" applyProtection="1">
      <alignment horizontal="center" wrapText="1"/>
      <protection locked="0"/>
    </xf>
    <xf numFmtId="166" fontId="4" fillId="5" borderId="5" xfId="4" applyNumberFormat="1" applyFont="1" applyFill="1" applyBorder="1" applyAlignment="1" applyProtection="1">
      <alignment horizontal="center" wrapText="1"/>
      <protection locked="0"/>
    </xf>
    <xf numFmtId="167" fontId="0" fillId="0" borderId="0" xfId="0" applyNumberFormat="1" applyAlignment="1">
      <alignment vertical="center"/>
    </xf>
    <xf numFmtId="0" fontId="9" fillId="5" borderId="6" xfId="0" applyFont="1" applyFill="1" applyBorder="1" applyProtection="1">
      <protection locked="0"/>
    </xf>
    <xf numFmtId="0" fontId="0" fillId="5" borderId="7" xfId="0" applyFill="1" applyBorder="1" applyProtection="1">
      <protection locked="0"/>
    </xf>
    <xf numFmtId="9" fontId="33" fillId="5" borderId="7" xfId="3" applyFill="1" applyBorder="1" applyProtection="1">
      <protection locked="0"/>
    </xf>
    <xf numFmtId="167" fontId="0" fillId="0" borderId="0" xfId="0" applyNumberFormat="1"/>
    <xf numFmtId="0" fontId="9" fillId="0" borderId="0" xfId="0" applyFont="1" applyAlignment="1">
      <alignment horizontal="center" vertical="center"/>
    </xf>
    <xf numFmtId="0" fontId="9" fillId="5" borderId="9" xfId="0" applyFont="1" applyFill="1" applyBorder="1" applyProtection="1">
      <protection locked="0"/>
    </xf>
    <xf numFmtId="9" fontId="33" fillId="5" borderId="10" xfId="3" applyFill="1" applyBorder="1" applyProtection="1">
      <protection locked="0"/>
    </xf>
    <xf numFmtId="0" fontId="4" fillId="0" borderId="0" xfId="0" applyFont="1"/>
    <xf numFmtId="0" fontId="10" fillId="0" borderId="0" xfId="0" applyFont="1"/>
    <xf numFmtId="0" fontId="9" fillId="5" borderId="11" xfId="0" applyFont="1" applyFill="1" applyBorder="1" applyProtection="1">
      <protection locked="0"/>
    </xf>
    <xf numFmtId="0" fontId="9" fillId="6" borderId="14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0" fillId="6" borderId="16" xfId="0" applyFill="1" applyBorder="1"/>
    <xf numFmtId="166" fontId="11" fillId="0" borderId="0" xfId="2" applyNumberFormat="1" applyFont="1" applyBorder="1" applyProtection="1"/>
    <xf numFmtId="166" fontId="9" fillId="7" borderId="0" xfId="2" applyNumberFormat="1" applyFont="1" applyFill="1" applyBorder="1" applyProtection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4" fillId="2" borderId="17" xfId="5" applyFont="1" applyBorder="1" applyProtection="1">
      <protection locked="0"/>
    </xf>
    <xf numFmtId="0" fontId="33" fillId="2" borderId="18" xfId="5" applyBorder="1" applyProtection="1">
      <protection locked="0"/>
    </xf>
    <xf numFmtId="0" fontId="9" fillId="2" borderId="18" xfId="5" applyFont="1" applyBorder="1" applyProtection="1">
      <protection locked="0"/>
    </xf>
    <xf numFmtId="10" fontId="33" fillId="2" borderId="18" xfId="3" applyNumberFormat="1" applyFill="1" applyBorder="1" applyProtection="1">
      <protection locked="0"/>
    </xf>
    <xf numFmtId="0" fontId="33" fillId="2" borderId="19" xfId="5" applyBorder="1" applyProtection="1">
      <protection locked="0"/>
    </xf>
    <xf numFmtId="165" fontId="0" fillId="6" borderId="16" xfId="0" applyNumberFormat="1" applyFill="1" applyBorder="1"/>
    <xf numFmtId="0" fontId="6" fillId="0" borderId="0" xfId="0" applyFont="1"/>
    <xf numFmtId="0" fontId="0" fillId="0" borderId="16" xfId="0" applyBorder="1"/>
    <xf numFmtId="165" fontId="16" fillId="8" borderId="0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65" fontId="0" fillId="6" borderId="0" xfId="0" applyNumberFormat="1" applyFill="1"/>
    <xf numFmtId="9" fontId="16" fillId="0" borderId="20" xfId="3" applyFont="1" applyBorder="1" applyAlignment="1" applyProtection="1">
      <alignment horizontal="center" vertical="center"/>
    </xf>
    <xf numFmtId="9" fontId="0" fillId="0" borderId="0" xfId="0" applyNumberFormat="1"/>
    <xf numFmtId="9" fontId="16" fillId="0" borderId="21" xfId="3" applyFont="1" applyBorder="1" applyAlignment="1" applyProtection="1">
      <alignment horizontal="center" vertical="center"/>
    </xf>
    <xf numFmtId="3" fontId="0" fillId="0" borderId="0" xfId="0" applyNumberFormat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9" fillId="0" borderId="28" xfId="6" applyFill="1" applyBorder="1" applyAlignment="1" applyProtection="1">
      <alignment horizontal="center" vertical="center"/>
    </xf>
    <xf numFmtId="0" fontId="0" fillId="0" borderId="28" xfId="0" applyBorder="1" applyAlignment="1">
      <alignment horizontal="center"/>
    </xf>
    <xf numFmtId="3" fontId="0" fillId="0" borderId="28" xfId="0" applyNumberFormat="1" applyBorder="1" applyAlignment="1">
      <alignment horizontal="center" vertical="center"/>
    </xf>
    <xf numFmtId="0" fontId="19" fillId="9" borderId="28" xfId="6" applyFill="1" applyBorder="1" applyAlignment="1" applyProtection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1" fontId="0" fillId="0" borderId="28" xfId="0" applyNumberFormat="1" applyBorder="1" applyAlignment="1">
      <alignment horizontal="center"/>
    </xf>
    <xf numFmtId="3" fontId="0" fillId="0" borderId="29" xfId="0" applyNumberFormat="1" applyBorder="1" applyAlignment="1">
      <alignment horizontal="center" vertical="center"/>
    </xf>
    <xf numFmtId="0" fontId="0" fillId="0" borderId="10" xfId="0" applyBorder="1"/>
    <xf numFmtId="165" fontId="0" fillId="0" borderId="30" xfId="0" applyNumberFormat="1" applyBorder="1" applyAlignment="1">
      <alignment horizontal="center" vertical="center"/>
    </xf>
    <xf numFmtId="168" fontId="0" fillId="0" borderId="0" xfId="0" applyNumberFormat="1"/>
    <xf numFmtId="0" fontId="1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10" xfId="6" applyFill="1" applyBorder="1" applyAlignment="1" applyProtection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19" fillId="10" borderId="10" xfId="6" applyFill="1" applyBorder="1" applyAlignment="1" applyProtection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right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3" fontId="0" fillId="0" borderId="3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8" fontId="0" fillId="0" borderId="0" xfId="0" applyNumberFormat="1" applyAlignment="1">
      <alignment vertical="center"/>
    </xf>
    <xf numFmtId="0" fontId="19" fillId="9" borderId="10" xfId="6" applyFill="1" applyBorder="1" applyAlignment="1" applyProtection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9" fillId="0" borderId="10" xfId="7" applyFill="1" applyBorder="1" applyAlignment="1" applyProtection="1">
      <alignment horizontal="center" vertical="center"/>
    </xf>
    <xf numFmtId="0" fontId="19" fillId="0" borderId="10" xfId="7" applyFill="1" applyBorder="1" applyAlignment="1" applyProtection="1">
      <alignment horizontal="center"/>
    </xf>
    <xf numFmtId="0" fontId="12" fillId="7" borderId="9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19" fillId="7" borderId="10" xfId="6" applyFill="1" applyBorder="1" applyAlignment="1" applyProtection="1">
      <alignment horizontal="center" vertical="center"/>
    </xf>
    <xf numFmtId="3" fontId="0" fillId="7" borderId="10" xfId="0" applyNumberForma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right"/>
    </xf>
    <xf numFmtId="0" fontId="0" fillId="7" borderId="10" xfId="0" applyFill="1" applyBorder="1" applyAlignment="1">
      <alignment horizontal="center"/>
    </xf>
    <xf numFmtId="3" fontId="0" fillId="7" borderId="31" xfId="0" applyNumberFormat="1" applyFill="1" applyBorder="1" applyAlignment="1">
      <alignment horizontal="center" vertical="center"/>
    </xf>
    <xf numFmtId="0" fontId="0" fillId="7" borderId="10" xfId="0" applyFill="1" applyBorder="1"/>
    <xf numFmtId="0" fontId="12" fillId="7" borderId="32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19" fillId="7" borderId="13" xfId="6" applyFill="1" applyBorder="1" applyAlignment="1" applyProtection="1">
      <alignment horizontal="center" vertical="center"/>
    </xf>
    <xf numFmtId="0" fontId="19" fillId="7" borderId="13" xfId="6" applyFill="1" applyBorder="1" applyAlignment="1" applyProtection="1">
      <alignment horizontal="center"/>
    </xf>
    <xf numFmtId="3" fontId="0" fillId="7" borderId="13" xfId="0" applyNumberForma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/>
    </xf>
    <xf numFmtId="3" fontId="0" fillId="7" borderId="33" xfId="0" applyNumberForma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9" fillId="0" borderId="34" xfId="6" applyFill="1" applyBorder="1" applyAlignment="1" applyProtection="1">
      <alignment horizontal="center" vertical="center"/>
    </xf>
    <xf numFmtId="0" fontId="20" fillId="0" borderId="34" xfId="0" applyFont="1" applyBorder="1" applyAlignment="1">
      <alignment readingOrder="1"/>
    </xf>
    <xf numFmtId="3" fontId="0" fillId="0" borderId="34" xfId="0" applyNumberForma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0" fillId="0" borderId="15" xfId="0" applyBorder="1"/>
    <xf numFmtId="0" fontId="0" fillId="0" borderId="34" xfId="0" applyBorder="1" applyAlignment="1">
      <alignment horizontal="center"/>
    </xf>
    <xf numFmtId="1" fontId="0" fillId="0" borderId="34" xfId="0" applyNumberFormat="1" applyBorder="1" applyAlignment="1">
      <alignment horizontal="center"/>
    </xf>
    <xf numFmtId="0" fontId="20" fillId="0" borderId="28" xfId="0" applyFont="1" applyBorder="1" applyAlignment="1">
      <alignment readingOrder="1"/>
    </xf>
    <xf numFmtId="0" fontId="0" fillId="0" borderId="8" xfId="0" applyBorder="1"/>
    <xf numFmtId="0" fontId="20" fillId="0" borderId="7" xfId="0" applyFont="1" applyBorder="1" applyAlignment="1">
      <alignment readingOrder="1"/>
    </xf>
    <xf numFmtId="0" fontId="0" fillId="0" borderId="30" xfId="0" applyBorder="1"/>
    <xf numFmtId="0" fontId="0" fillId="7" borderId="0" xfId="0" applyFill="1"/>
    <xf numFmtId="3" fontId="11" fillId="0" borderId="30" xfId="0" applyNumberFormat="1" applyFont="1" applyBorder="1" applyAlignment="1">
      <alignment horizontal="center" vertical="center"/>
    </xf>
    <xf numFmtId="3" fontId="0" fillId="0" borderId="30" xfId="0" applyNumberFormat="1" applyBorder="1" applyAlignment="1">
      <alignment vertical="center"/>
    </xf>
    <xf numFmtId="0" fontId="19" fillId="7" borderId="10" xfId="6" applyFill="1" applyBorder="1" applyAlignment="1" applyProtection="1">
      <alignment horizontal="center"/>
    </xf>
    <xf numFmtId="0" fontId="20" fillId="7" borderId="7" xfId="0" applyFont="1" applyFill="1" applyBorder="1" applyAlignment="1">
      <alignment readingOrder="1"/>
    </xf>
    <xf numFmtId="3" fontId="11" fillId="7" borderId="30" xfId="0" applyNumberFormat="1" applyFont="1" applyFill="1" applyBorder="1" applyAlignment="1">
      <alignment horizontal="center" vertical="center"/>
    </xf>
    <xf numFmtId="3" fontId="0" fillId="7" borderId="30" xfId="0" applyNumberFormat="1" applyFill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0" borderId="13" xfId="7" applyFill="1" applyBorder="1" applyAlignment="1" applyProtection="1">
      <alignment horizontal="center" vertical="center"/>
    </xf>
    <xf numFmtId="0" fontId="20" fillId="0" borderId="35" xfId="0" applyFont="1" applyBorder="1" applyAlignment="1">
      <alignment readingOrder="1"/>
    </xf>
    <xf numFmtId="3" fontId="0" fillId="0" borderId="13" xfId="0" applyNumberFormat="1" applyBorder="1" applyAlignment="1">
      <alignment horizontal="center" vertical="center"/>
    </xf>
    <xf numFmtId="9" fontId="11" fillId="0" borderId="1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readingOrder="1"/>
    </xf>
    <xf numFmtId="0" fontId="0" fillId="0" borderId="13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3" fontId="0" fillId="0" borderId="33" xfId="0" applyNumberFormat="1" applyBorder="1" applyAlignment="1">
      <alignment horizontal="center" vertical="center"/>
    </xf>
    <xf numFmtId="0" fontId="19" fillId="0" borderId="0" xfId="6" applyFill="1" applyBorder="1" applyAlignment="1" applyProtection="1">
      <alignment horizontal="center" vertical="center"/>
    </xf>
    <xf numFmtId="0" fontId="20" fillId="0" borderId="0" xfId="0" applyFont="1" applyAlignment="1">
      <alignment readingOrder="1"/>
    </xf>
    <xf numFmtId="9" fontId="11" fillId="0" borderId="36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readingOrder="1"/>
    </xf>
    <xf numFmtId="1" fontId="0" fillId="0" borderId="0" xfId="0" applyNumberFormat="1" applyAlignment="1">
      <alignment horizontal="center"/>
    </xf>
    <xf numFmtId="0" fontId="19" fillId="0" borderId="28" xfId="7" applyFill="1" applyBorder="1" applyAlignment="1" applyProtection="1">
      <alignment horizontal="center" vertical="center"/>
    </xf>
    <xf numFmtId="9" fontId="11" fillId="0" borderId="8" xfId="0" applyNumberFormat="1" applyFont="1" applyBorder="1" applyAlignment="1">
      <alignment horizontal="center" vertical="center"/>
    </xf>
    <xf numFmtId="0" fontId="19" fillId="0" borderId="37" xfId="6" applyFill="1" applyBorder="1" applyAlignment="1" applyProtection="1">
      <alignment horizontal="center" vertical="center"/>
    </xf>
    <xf numFmtId="0" fontId="19" fillId="0" borderId="38" xfId="6" applyFill="1" applyBorder="1" applyAlignment="1" applyProtection="1">
      <alignment horizontal="center" vertical="center"/>
    </xf>
    <xf numFmtId="9" fontId="11" fillId="0" borderId="30" xfId="0" applyNumberFormat="1" applyFont="1" applyBorder="1" applyAlignment="1">
      <alignment horizontal="center" vertical="center"/>
    </xf>
    <xf numFmtId="0" fontId="19" fillId="0" borderId="38" xfId="7" applyFill="1" applyBorder="1" applyAlignment="1" applyProtection="1">
      <alignment horizontal="center" vertical="center"/>
    </xf>
    <xf numFmtId="10" fontId="11" fillId="0" borderId="30" xfId="0" applyNumberFormat="1" applyFont="1" applyBorder="1" applyAlignment="1">
      <alignment horizontal="center" vertical="center"/>
    </xf>
    <xf numFmtId="165" fontId="0" fillId="0" borderId="30" xfId="0" applyNumberForma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2" fontId="13" fillId="7" borderId="10" xfId="0" applyNumberFormat="1" applyFont="1" applyFill="1" applyBorder="1" applyAlignment="1">
      <alignment horizontal="center"/>
    </xf>
    <xf numFmtId="3" fontId="0" fillId="0" borderId="10" xfId="0" applyNumberFormat="1" applyBorder="1"/>
    <xf numFmtId="0" fontId="25" fillId="0" borderId="10" xfId="0" applyFont="1" applyBorder="1"/>
    <xf numFmtId="0" fontId="13" fillId="0" borderId="7" xfId="0" applyFont="1" applyBorder="1"/>
    <xf numFmtId="0" fontId="26" fillId="0" borderId="10" xfId="0" applyFont="1" applyBorder="1"/>
    <xf numFmtId="0" fontId="13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166" fontId="13" fillId="0" borderId="10" xfId="2" applyNumberFormat="1" applyFont="1" applyBorder="1" applyAlignment="1" applyProtection="1">
      <alignment horizontal="center"/>
    </xf>
    <xf numFmtId="166" fontId="13" fillId="0" borderId="30" xfId="2" applyNumberFormat="1" applyFont="1" applyBorder="1" applyAlignment="1" applyProtection="1">
      <alignment horizontal="center" vertical="center"/>
    </xf>
    <xf numFmtId="164" fontId="33" fillId="0" borderId="7" xfId="2" applyBorder="1" applyAlignment="1" applyProtection="1">
      <alignment horizontal="center"/>
    </xf>
    <xf numFmtId="0" fontId="0" fillId="0" borderId="31" xfId="0" applyBorder="1"/>
    <xf numFmtId="0" fontId="6" fillId="0" borderId="3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2" fontId="27" fillId="0" borderId="13" xfId="0" applyNumberFormat="1" applyFont="1" applyBorder="1" applyAlignment="1">
      <alignment horizontal="center"/>
    </xf>
    <xf numFmtId="0" fontId="0" fillId="0" borderId="13" xfId="0" applyBorder="1"/>
    <xf numFmtId="165" fontId="6" fillId="0" borderId="13" xfId="0" applyNumberFormat="1" applyFont="1" applyBorder="1" applyAlignment="1">
      <alignment horizontal="center"/>
    </xf>
    <xf numFmtId="165" fontId="9" fillId="0" borderId="35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 vertical="center"/>
    </xf>
    <xf numFmtId="165" fontId="9" fillId="0" borderId="33" xfId="0" applyNumberFormat="1" applyFont="1" applyBorder="1" applyAlignment="1">
      <alignment horizontal="center"/>
    </xf>
    <xf numFmtId="165" fontId="0" fillId="0" borderId="12" xfId="0" applyNumberFormat="1" applyBorder="1" applyAlignment="1">
      <alignment horizontal="center" vertical="center"/>
    </xf>
    <xf numFmtId="0" fontId="19" fillId="0" borderId="39" xfId="6" applyFill="1" applyBorder="1" applyAlignment="1" applyProtection="1">
      <alignment horizontal="center" vertical="center"/>
    </xf>
    <xf numFmtId="0" fontId="6" fillId="0" borderId="4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2" fontId="9" fillId="0" borderId="43" xfId="0" applyNumberFormat="1" applyFont="1" applyBorder="1" applyAlignment="1">
      <alignment horizontal="center"/>
    </xf>
    <xf numFmtId="0" fontId="0" fillId="0" borderId="41" xfId="0" applyBorder="1"/>
    <xf numFmtId="165" fontId="6" fillId="0" borderId="41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42" xfId="0" applyNumberFormat="1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6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165" fontId="9" fillId="0" borderId="50" xfId="0" applyNumberFormat="1" applyFont="1" applyBorder="1" applyAlignment="1">
      <alignment horizontal="center"/>
    </xf>
    <xf numFmtId="165" fontId="9" fillId="0" borderId="36" xfId="0" applyNumberFormat="1" applyFont="1" applyBorder="1" applyAlignment="1">
      <alignment horizontal="center" vertical="center"/>
    </xf>
    <xf numFmtId="3" fontId="0" fillId="0" borderId="0" xfId="0" applyNumberFormat="1"/>
    <xf numFmtId="0" fontId="25" fillId="0" borderId="51" xfId="0" applyFont="1" applyBorder="1" applyAlignment="1">
      <alignment vertical="center"/>
    </xf>
    <xf numFmtId="0" fontId="13" fillId="0" borderId="52" xfId="0" applyFont="1" applyBorder="1" applyAlignment="1">
      <alignment vertical="center"/>
    </xf>
    <xf numFmtId="0" fontId="13" fillId="0" borderId="53" xfId="0" applyFont="1" applyBorder="1" applyAlignment="1">
      <alignment vertical="center"/>
    </xf>
    <xf numFmtId="169" fontId="13" fillId="7" borderId="43" xfId="0" applyNumberFormat="1" applyFont="1" applyFill="1" applyBorder="1" applyAlignment="1">
      <alignment horizontal="center"/>
    </xf>
    <xf numFmtId="3" fontId="0" fillId="0" borderId="41" xfId="0" applyNumberFormat="1" applyBorder="1"/>
    <xf numFmtId="0" fontId="25" fillId="0" borderId="54" xfId="0" applyFont="1" applyBorder="1"/>
    <xf numFmtId="0" fontId="13" fillId="0" borderId="52" xfId="0" applyFont="1" applyBorder="1"/>
    <xf numFmtId="0" fontId="26" fillId="0" borderId="55" xfId="0" applyFont="1" applyBorder="1"/>
    <xf numFmtId="165" fontId="13" fillId="0" borderId="56" xfId="0" applyNumberFormat="1" applyFont="1" applyBorder="1" applyAlignment="1">
      <alignment horizontal="center"/>
    </xf>
    <xf numFmtId="165" fontId="13" fillId="0" borderId="41" xfId="0" applyNumberFormat="1" applyFont="1" applyBorder="1" applyAlignment="1">
      <alignment horizontal="center"/>
    </xf>
    <xf numFmtId="165" fontId="25" fillId="0" borderId="41" xfId="0" applyNumberFormat="1" applyFont="1" applyBorder="1" applyAlignment="1">
      <alignment horizontal="center"/>
    </xf>
    <xf numFmtId="166" fontId="13" fillId="0" borderId="41" xfId="2" applyNumberFormat="1" applyFont="1" applyBorder="1" applyAlignment="1" applyProtection="1">
      <alignment horizontal="center"/>
    </xf>
    <xf numFmtId="166" fontId="13" fillId="0" borderId="42" xfId="2" applyNumberFormat="1" applyFont="1" applyBorder="1" applyAlignment="1" applyProtection="1">
      <alignment horizontal="center" vertical="center"/>
    </xf>
    <xf numFmtId="164" fontId="33" fillId="0" borderId="0" xfId="2" applyBorder="1" applyAlignment="1" applyProtection="1">
      <alignment horizontal="center"/>
    </xf>
    <xf numFmtId="0" fontId="13" fillId="0" borderId="0" xfId="0" applyFont="1" applyAlignment="1">
      <alignment horizontal="right" vertical="center"/>
    </xf>
    <xf numFmtId="169" fontId="13" fillId="0" borderId="0" xfId="0" applyNumberFormat="1" applyFont="1" applyAlignment="1">
      <alignment horizontal="center"/>
    </xf>
    <xf numFmtId="0" fontId="13" fillId="0" borderId="0" xfId="0" applyFont="1"/>
    <xf numFmtId="0" fontId="26" fillId="0" borderId="0" xfId="0" applyFont="1"/>
    <xf numFmtId="165" fontId="13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 vertical="center"/>
    </xf>
    <xf numFmtId="166" fontId="0" fillId="0" borderId="0" xfId="0" applyNumberFormat="1"/>
    <xf numFmtId="170" fontId="13" fillId="0" borderId="0" xfId="1" applyFont="1" applyBorder="1" applyAlignment="1" applyProtection="1">
      <alignment horizontal="center"/>
    </xf>
    <xf numFmtId="165" fontId="13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165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66" fontId="29" fillId="0" borderId="0" xfId="0" applyNumberFormat="1" applyFont="1" applyAlignment="1">
      <alignment horizontal="center" vertical="center"/>
    </xf>
    <xf numFmtId="170" fontId="29" fillId="0" borderId="0" xfId="1" applyFont="1" applyBorder="1" applyAlignment="1" applyProtection="1">
      <alignment horizontal="center" vertical="center"/>
    </xf>
    <xf numFmtId="0" fontId="30" fillId="0" borderId="0" xfId="0" applyFont="1" applyAlignment="1">
      <alignment vertical="center" wrapText="1"/>
    </xf>
    <xf numFmtId="166" fontId="32" fillId="0" borderId="0" xfId="0" applyNumberFormat="1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0" borderId="0" xfId="0" applyFont="1" applyAlignment="1">
      <alignment wrapText="1"/>
    </xf>
    <xf numFmtId="166" fontId="32" fillId="0" borderId="0" xfId="0" applyNumberFormat="1" applyFont="1" applyAlignment="1">
      <alignment wrapText="1"/>
    </xf>
    <xf numFmtId="0" fontId="32" fillId="0" borderId="0" xfId="0" applyFont="1" applyAlignment="1">
      <alignment wrapText="1"/>
    </xf>
    <xf numFmtId="0" fontId="33" fillId="0" borderId="0" xfId="0" applyFont="1"/>
    <xf numFmtId="0" fontId="34" fillId="0" borderId="0" xfId="0" applyFont="1"/>
    <xf numFmtId="165" fontId="12" fillId="0" borderId="0" xfId="0" applyNumberFormat="1" applyFont="1"/>
    <xf numFmtId="0" fontId="6" fillId="0" borderId="0" xfId="0" applyFont="1" applyAlignment="1">
      <alignment horizontal="center"/>
    </xf>
    <xf numFmtId="0" fontId="38" fillId="0" borderId="0" xfId="0" applyFont="1"/>
    <xf numFmtId="0" fontId="9" fillId="0" borderId="0" xfId="0" applyFont="1" applyAlignment="1">
      <alignment horizontal="center"/>
    </xf>
    <xf numFmtId="0" fontId="33" fillId="0" borderId="0" xfId="2" applyNumberFormat="1" applyBorder="1" applyProtection="1"/>
    <xf numFmtId="0" fontId="12" fillId="2" borderId="19" xfId="5" applyFont="1" applyBorder="1" applyProtection="1">
      <protection locked="0"/>
    </xf>
    <xf numFmtId="165" fontId="0" fillId="0" borderId="16" xfId="0" applyNumberFormat="1" applyBorder="1"/>
    <xf numFmtId="164" fontId="0" fillId="0" borderId="0" xfId="0" applyNumberFormat="1"/>
    <xf numFmtId="9" fontId="39" fillId="0" borderId="20" xfId="3" applyFont="1" applyBorder="1" applyAlignment="1" applyProtection="1">
      <alignment horizontal="center" vertical="center"/>
    </xf>
    <xf numFmtId="9" fontId="33" fillId="0" borderId="0" xfId="0" applyNumberFormat="1" applyFont="1"/>
    <xf numFmtId="9" fontId="40" fillId="0" borderId="20" xfId="3" applyFont="1" applyBorder="1" applyAlignment="1" applyProtection="1">
      <alignment horizontal="center" vertical="center"/>
    </xf>
    <xf numFmtId="0" fontId="38" fillId="0" borderId="23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41" fillId="0" borderId="28" xfId="6" applyFont="1" applyFill="1" applyBorder="1" applyAlignment="1" applyProtection="1">
      <alignment horizontal="center" vertical="center"/>
    </xf>
    <xf numFmtId="0" fontId="42" fillId="0" borderId="28" xfId="6" applyFont="1" applyFill="1" applyBorder="1" applyAlignment="1" applyProtection="1">
      <alignment horizontal="center" vertical="center"/>
    </xf>
    <xf numFmtId="3" fontId="33" fillId="0" borderId="28" xfId="0" applyNumberFormat="1" applyFont="1" applyBorder="1" applyAlignment="1">
      <alignment horizontal="center" vertical="center"/>
    </xf>
    <xf numFmtId="0" fontId="41" fillId="0" borderId="25" xfId="6" applyFont="1" applyFill="1" applyBorder="1" applyAlignment="1" applyProtection="1">
      <alignment horizontal="center" vertical="center"/>
    </xf>
    <xf numFmtId="0" fontId="12" fillId="0" borderId="8" xfId="0" applyFont="1" applyBorder="1" applyAlignment="1">
      <alignment horizontal="right"/>
    </xf>
    <xf numFmtId="0" fontId="33" fillId="0" borderId="7" xfId="0" applyFont="1" applyBorder="1" applyAlignment="1">
      <alignment horizontal="center"/>
    </xf>
    <xf numFmtId="1" fontId="33" fillId="0" borderId="7" xfId="0" applyNumberFormat="1" applyFont="1" applyBorder="1" applyAlignment="1">
      <alignment horizontal="center"/>
    </xf>
    <xf numFmtId="3" fontId="33" fillId="0" borderId="7" xfId="0" applyNumberFormat="1" applyFont="1" applyBorder="1" applyAlignment="1">
      <alignment horizontal="center" vertical="center"/>
    </xf>
    <xf numFmtId="3" fontId="33" fillId="0" borderId="61" xfId="0" applyNumberFormat="1" applyFont="1" applyBorder="1" applyAlignment="1">
      <alignment horizontal="center" vertical="center"/>
    </xf>
    <xf numFmtId="0" fontId="33" fillId="0" borderId="10" xfId="0" applyFont="1" applyBorder="1"/>
    <xf numFmtId="165" fontId="33" fillId="0" borderId="10" xfId="0" applyNumberFormat="1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41" fillId="0" borderId="10" xfId="6" applyFont="1" applyFill="1" applyBorder="1" applyAlignment="1" applyProtection="1">
      <alignment horizontal="center" vertical="center"/>
    </xf>
    <xf numFmtId="0" fontId="42" fillId="0" borderId="10" xfId="6" applyFont="1" applyFill="1" applyBorder="1" applyAlignment="1" applyProtection="1">
      <alignment horizontal="center" vertical="center"/>
    </xf>
    <xf numFmtId="3" fontId="33" fillId="0" borderId="10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right"/>
    </xf>
    <xf numFmtId="0" fontId="33" fillId="0" borderId="10" xfId="0" applyFont="1" applyBorder="1" applyAlignment="1">
      <alignment horizontal="center"/>
    </xf>
    <xf numFmtId="1" fontId="33" fillId="0" borderId="10" xfId="0" applyNumberFormat="1" applyFont="1" applyBorder="1" applyAlignment="1">
      <alignment horizontal="center"/>
    </xf>
    <xf numFmtId="3" fontId="33" fillId="0" borderId="3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41" fillId="0" borderId="10" xfId="7" applyFont="1" applyFill="1" applyBorder="1" applyAlignment="1" applyProtection="1">
      <alignment horizontal="center" vertical="center"/>
    </xf>
    <xf numFmtId="0" fontId="41" fillId="0" borderId="10" xfId="7" applyFont="1" applyFill="1" applyBorder="1" applyAlignment="1" applyProtection="1">
      <alignment horizontal="center"/>
    </xf>
    <xf numFmtId="0" fontId="42" fillId="0" borderId="10" xfId="7" applyFont="1" applyFill="1" applyBorder="1" applyAlignment="1" applyProtection="1">
      <alignment horizontal="center"/>
    </xf>
    <xf numFmtId="0" fontId="12" fillId="0" borderId="39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41" fillId="0" borderId="13" xfId="6" applyFont="1" applyFill="1" applyBorder="1" applyAlignment="1" applyProtection="1">
      <alignment horizontal="center" vertical="center"/>
    </xf>
    <xf numFmtId="0" fontId="41" fillId="0" borderId="13" xfId="6" applyFont="1" applyFill="1" applyBorder="1" applyAlignment="1" applyProtection="1">
      <alignment horizontal="center"/>
    </xf>
    <xf numFmtId="0" fontId="42" fillId="0" borderId="13" xfId="6" applyFont="1" applyFill="1" applyBorder="1" applyAlignment="1" applyProtection="1">
      <alignment horizontal="center"/>
    </xf>
    <xf numFmtId="3" fontId="33" fillId="0" borderId="13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/>
    </xf>
    <xf numFmtId="3" fontId="33" fillId="0" borderId="33" xfId="0" applyNumberFormat="1" applyFont="1" applyBorder="1" applyAlignment="1">
      <alignment horizontal="center" vertical="center"/>
    </xf>
    <xf numFmtId="0" fontId="44" fillId="0" borderId="14" xfId="0" applyFont="1" applyBorder="1" applyAlignment="1">
      <alignment vertical="center"/>
    </xf>
    <xf numFmtId="0" fontId="35" fillId="0" borderId="34" xfId="0" applyFont="1" applyBorder="1" applyAlignment="1">
      <alignment vertical="center"/>
    </xf>
    <xf numFmtId="2" fontId="45" fillId="0" borderId="34" xfId="0" applyNumberFormat="1" applyFont="1" applyBorder="1" applyAlignment="1">
      <alignment horizontal="center"/>
    </xf>
    <xf numFmtId="0" fontId="33" fillId="0" borderId="34" xfId="0" applyFont="1" applyBorder="1"/>
    <xf numFmtId="165" fontId="38" fillId="0" borderId="34" xfId="0" applyNumberFormat="1" applyFont="1" applyBorder="1" applyAlignment="1">
      <alignment horizontal="center"/>
    </xf>
    <xf numFmtId="165" fontId="44" fillId="0" borderId="34" xfId="0" applyNumberFormat="1" applyFont="1" applyBorder="1" applyAlignment="1">
      <alignment horizontal="center"/>
    </xf>
    <xf numFmtId="165" fontId="35" fillId="0" borderId="15" xfId="0" applyNumberFormat="1" applyFont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0" fontId="43" fillId="0" borderId="28" xfId="0" applyFont="1" applyBorder="1" applyAlignment="1">
      <alignment horizontal="center" readingOrder="1"/>
    </xf>
    <xf numFmtId="0" fontId="12" fillId="0" borderId="8" xfId="0" applyFont="1" applyBorder="1"/>
    <xf numFmtId="0" fontId="33" fillId="0" borderId="28" xfId="0" applyFont="1" applyBorder="1" applyAlignment="1">
      <alignment horizontal="center"/>
    </xf>
    <xf numFmtId="1" fontId="33" fillId="0" borderId="28" xfId="0" applyNumberFormat="1" applyFont="1" applyBorder="1" applyAlignment="1">
      <alignment horizontal="center"/>
    </xf>
    <xf numFmtId="3" fontId="33" fillId="0" borderId="29" xfId="0" applyNumberFormat="1" applyFont="1" applyBorder="1" applyAlignment="1">
      <alignment horizontal="center" vertical="center"/>
    </xf>
    <xf numFmtId="0" fontId="43" fillId="0" borderId="7" xfId="0" applyFont="1" applyBorder="1" applyAlignment="1">
      <alignment horizontal="center" readingOrder="1"/>
    </xf>
    <xf numFmtId="0" fontId="12" fillId="0" borderId="30" xfId="0" applyFont="1" applyBorder="1"/>
    <xf numFmtId="0" fontId="12" fillId="0" borderId="10" xfId="0" applyFont="1" applyBorder="1" applyAlignment="1">
      <alignment horizontal="center" vertical="center"/>
    </xf>
    <xf numFmtId="0" fontId="42" fillId="0" borderId="10" xfId="7" applyFont="1" applyFill="1" applyBorder="1" applyAlignment="1" applyProtection="1">
      <alignment horizontal="center" vertical="center"/>
    </xf>
    <xf numFmtId="0" fontId="46" fillId="0" borderId="7" xfId="0" applyFont="1" applyBorder="1" applyAlignment="1">
      <alignment horizontal="center" readingOrder="1"/>
    </xf>
    <xf numFmtId="3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3" fontId="12" fillId="0" borderId="31" xfId="0" applyNumberFormat="1" applyFont="1" applyBorder="1" applyAlignment="1">
      <alignment horizontal="center" vertical="center"/>
    </xf>
    <xf numFmtId="0" fontId="12" fillId="0" borderId="10" xfId="0" applyFont="1" applyBorder="1"/>
    <xf numFmtId="165" fontId="12" fillId="0" borderId="10" xfId="0" applyNumberFormat="1" applyFont="1" applyBorder="1" applyAlignment="1">
      <alignment horizontal="center" vertical="center"/>
    </xf>
    <xf numFmtId="0" fontId="12" fillId="0" borderId="0" xfId="0" applyFont="1"/>
    <xf numFmtId="0" fontId="46" fillId="0" borderId="10" xfId="0" applyFont="1" applyBorder="1" applyAlignment="1">
      <alignment horizontal="center" vertical="center"/>
    </xf>
    <xf numFmtId="3" fontId="12" fillId="0" borderId="30" xfId="0" applyNumberFormat="1" applyFont="1" applyBorder="1" applyAlignment="1">
      <alignment vertical="center"/>
    </xf>
    <xf numFmtId="0" fontId="42" fillId="0" borderId="10" xfId="6" applyFont="1" applyFill="1" applyBorder="1" applyAlignment="1" applyProtection="1">
      <alignment horizontal="center"/>
    </xf>
    <xf numFmtId="0" fontId="42" fillId="0" borderId="13" xfId="6" applyFont="1" applyFill="1" applyBorder="1" applyAlignment="1" applyProtection="1">
      <alignment horizontal="center" vertical="center"/>
    </xf>
    <xf numFmtId="0" fontId="43" fillId="0" borderId="35" xfId="0" applyFont="1" applyBorder="1" applyAlignment="1">
      <alignment horizontal="center" readingOrder="1"/>
    </xf>
    <xf numFmtId="3" fontId="11" fillId="0" borderId="12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2" fontId="35" fillId="0" borderId="0" xfId="0" applyNumberFormat="1" applyFont="1" applyAlignment="1">
      <alignment horizontal="center"/>
    </xf>
    <xf numFmtId="165" fontId="38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34" xfId="0" applyNumberFormat="1" applyFont="1" applyBorder="1" applyAlignment="1">
      <alignment horizontal="center"/>
    </xf>
    <xf numFmtId="165" fontId="18" fillId="0" borderId="36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0" fontId="41" fillId="0" borderId="28" xfId="7" applyFont="1" applyFill="1" applyBorder="1" applyAlignment="1" applyProtection="1">
      <alignment horizontal="center" vertical="center"/>
    </xf>
    <xf numFmtId="0" fontId="42" fillId="0" borderId="28" xfId="7" applyFont="1" applyFill="1" applyBorder="1" applyAlignment="1" applyProtection="1">
      <alignment horizontal="center" vertical="center"/>
    </xf>
    <xf numFmtId="0" fontId="20" fillId="0" borderId="28" xfId="0" applyFont="1" applyBorder="1" applyAlignment="1">
      <alignment horizontal="center" readingOrder="1"/>
    </xf>
    <xf numFmtId="0" fontId="46" fillId="0" borderId="28" xfId="0" applyFont="1" applyBorder="1" applyAlignment="1">
      <alignment readingOrder="1"/>
    </xf>
    <xf numFmtId="165" fontId="0" fillId="11" borderId="10" xfId="0" applyNumberFormat="1" applyFill="1" applyBorder="1" applyAlignment="1">
      <alignment horizontal="center" vertical="center"/>
    </xf>
    <xf numFmtId="0" fontId="37" fillId="0" borderId="0" xfId="0" applyFont="1"/>
    <xf numFmtId="0" fontId="20" fillId="0" borderId="7" xfId="0" applyFont="1" applyBorder="1" applyAlignment="1">
      <alignment horizontal="center" readingOrder="1"/>
    </xf>
    <xf numFmtId="0" fontId="46" fillId="0" borderId="7" xfId="0" applyFont="1" applyBorder="1" applyAlignment="1">
      <alignment readingOrder="1"/>
    </xf>
    <xf numFmtId="0" fontId="37" fillId="0" borderId="10" xfId="0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/>
    </xf>
    <xf numFmtId="0" fontId="19" fillId="0" borderId="13" xfId="6" applyFill="1" applyBorder="1" applyAlignment="1" applyProtection="1">
      <alignment horizontal="center" vertical="center"/>
    </xf>
    <xf numFmtId="0" fontId="20" fillId="0" borderId="35" xfId="0" applyFont="1" applyBorder="1" applyAlignment="1">
      <alignment horizontal="center" readingOrder="1"/>
    </xf>
    <xf numFmtId="0" fontId="11" fillId="0" borderId="12" xfId="0" applyFont="1" applyBorder="1" applyAlignment="1">
      <alignment horizontal="center" vertical="center" wrapText="1"/>
    </xf>
    <xf numFmtId="0" fontId="46" fillId="0" borderId="35" xfId="0" applyFont="1" applyBorder="1" applyAlignment="1">
      <alignment readingOrder="1"/>
    </xf>
    <xf numFmtId="0" fontId="6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2" fontId="35" fillId="0" borderId="43" xfId="0" applyNumberFormat="1" applyFont="1" applyBorder="1" applyAlignment="1">
      <alignment horizontal="center"/>
    </xf>
    <xf numFmtId="0" fontId="33" fillId="0" borderId="41" xfId="0" applyFont="1" applyBorder="1"/>
    <xf numFmtId="0" fontId="38" fillId="0" borderId="34" xfId="0" applyFont="1" applyBorder="1"/>
    <xf numFmtId="0" fontId="6" fillId="0" borderId="34" xfId="0" applyFont="1" applyBorder="1" applyAlignment="1">
      <alignment horizontal="center"/>
    </xf>
    <xf numFmtId="0" fontId="6" fillId="0" borderId="34" xfId="0" applyFont="1" applyBorder="1"/>
    <xf numFmtId="0" fontId="12" fillId="0" borderId="42" xfId="0" applyFont="1" applyBorder="1"/>
    <xf numFmtId="0" fontId="23" fillId="0" borderId="44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2" fontId="35" fillId="7" borderId="43" xfId="0" applyNumberFormat="1" applyFont="1" applyFill="1" applyBorder="1" applyAlignment="1">
      <alignment horizontal="center"/>
    </xf>
    <xf numFmtId="3" fontId="33" fillId="0" borderId="0" xfId="0" applyNumberFormat="1" applyFont="1"/>
    <xf numFmtId="0" fontId="38" fillId="0" borderId="47" xfId="0" applyFont="1" applyBorder="1"/>
    <xf numFmtId="0" fontId="13" fillId="0" borderId="48" xfId="0" applyFont="1" applyBorder="1" applyAlignment="1">
      <alignment horizontal="center"/>
    </xf>
    <xf numFmtId="0" fontId="26" fillId="0" borderId="49" xfId="0" applyFont="1" applyBorder="1"/>
    <xf numFmtId="0" fontId="13" fillId="0" borderId="5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3" fillId="0" borderId="36" xfId="2" applyNumberFormat="1" applyFont="1" applyBorder="1" applyAlignment="1" applyProtection="1">
      <alignment horizontal="center" vertical="center"/>
    </xf>
    <xf numFmtId="164" fontId="12" fillId="0" borderId="0" xfId="2" applyFont="1" applyBorder="1" applyAlignment="1" applyProtection="1">
      <alignment horizontal="center"/>
    </xf>
    <xf numFmtId="169" fontId="35" fillId="7" borderId="43" xfId="0" applyNumberFormat="1" applyFont="1" applyFill="1" applyBorder="1" applyAlignment="1">
      <alignment horizontal="center"/>
    </xf>
    <xf numFmtId="3" fontId="33" fillId="0" borderId="41" xfId="0" applyNumberFormat="1" applyFont="1" applyBorder="1"/>
    <xf numFmtId="0" fontId="38" fillId="0" borderId="54" xfId="0" applyFont="1" applyBorder="1"/>
    <xf numFmtId="0" fontId="13" fillId="0" borderId="52" xfId="0" applyFont="1" applyBorder="1" applyAlignment="1">
      <alignment horizontal="center"/>
    </xf>
    <xf numFmtId="169" fontId="35" fillId="0" borderId="0" xfId="0" applyNumberFormat="1" applyFont="1" applyAlignment="1">
      <alignment horizontal="center"/>
    </xf>
    <xf numFmtId="0" fontId="36" fillId="0" borderId="0" xfId="0" applyFont="1"/>
    <xf numFmtId="166" fontId="18" fillId="0" borderId="0" xfId="2" applyNumberFormat="1" applyFont="1" applyBorder="1" applyAlignment="1" applyProtection="1">
      <alignment horizontal="center"/>
    </xf>
    <xf numFmtId="0" fontId="47" fillId="0" borderId="0" xfId="0" applyFont="1" applyAlignment="1">
      <alignment vertical="center" wrapText="1"/>
    </xf>
    <xf numFmtId="0" fontId="49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165" fontId="51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170" fontId="51" fillId="0" borderId="0" xfId="1" applyFont="1" applyBorder="1" applyAlignment="1" applyProtection="1">
      <alignment horizontal="center" vertical="center"/>
    </xf>
    <xf numFmtId="0" fontId="54" fillId="0" borderId="0" xfId="0" applyFont="1" applyAlignment="1">
      <alignment vertical="center" wrapText="1"/>
    </xf>
    <xf numFmtId="0" fontId="55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0" fontId="57" fillId="0" borderId="0" xfId="0" applyFont="1" applyAlignment="1">
      <alignment wrapText="1"/>
    </xf>
    <xf numFmtId="0" fontId="58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56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readingOrder="2"/>
    </xf>
    <xf numFmtId="9" fontId="33" fillId="0" borderId="0" xfId="3" applyBorder="1" applyProtection="1"/>
    <xf numFmtId="166" fontId="4" fillId="5" borderId="4" xfId="4" applyNumberFormat="1" applyFont="1" applyFill="1" applyBorder="1" applyAlignment="1" applyProtection="1">
      <alignment horizontal="center" wrapText="1"/>
      <protection locked="0"/>
    </xf>
    <xf numFmtId="169" fontId="0" fillId="5" borderId="7" xfId="0" applyNumberFormat="1" applyFill="1" applyBorder="1" applyProtection="1">
      <protection locked="0"/>
    </xf>
    <xf numFmtId="1" fontId="33" fillId="2" borderId="18" xfId="5" applyNumberFormat="1" applyBorder="1" applyProtection="1">
      <protection locked="0"/>
    </xf>
    <xf numFmtId="0" fontId="6" fillId="12" borderId="8" xfId="0" applyFont="1" applyFill="1" applyBorder="1"/>
    <xf numFmtId="0" fontId="37" fillId="12" borderId="28" xfId="0" applyFont="1" applyFill="1" applyBorder="1"/>
    <xf numFmtId="0" fontId="6" fillId="12" borderId="28" xfId="0" applyFont="1" applyFill="1" applyBorder="1" applyAlignment="1">
      <alignment wrapText="1"/>
    </xf>
    <xf numFmtId="0" fontId="4" fillId="12" borderId="28" xfId="0" applyFont="1" applyFill="1" applyBorder="1" applyAlignment="1">
      <alignment wrapText="1"/>
    </xf>
    <xf numFmtId="0" fontId="4" fillId="12" borderId="29" xfId="0" applyFont="1" applyFill="1" applyBorder="1"/>
    <xf numFmtId="0" fontId="4" fillId="12" borderId="27" xfId="0" applyFont="1" applyFill="1" applyBorder="1"/>
    <xf numFmtId="0" fontId="4" fillId="12" borderId="28" xfId="0" applyFont="1" applyFill="1" applyBorder="1"/>
    <xf numFmtId="0" fontId="37" fillId="12" borderId="27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0" borderId="9" xfId="0" applyBorder="1"/>
    <xf numFmtId="0" fontId="60" fillId="0" borderId="12" xfId="0" applyFont="1" applyBorder="1" applyAlignment="1">
      <alignment horizontal="center"/>
    </xf>
    <xf numFmtId="0" fontId="59" fillId="0" borderId="3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62" fillId="13" borderId="14" xfId="0" applyFont="1" applyFill="1" applyBorder="1" applyAlignment="1">
      <alignment horizontal="center"/>
    </xf>
    <xf numFmtId="9" fontId="63" fillId="13" borderId="15" xfId="3" applyFont="1" applyFill="1" applyBorder="1" applyAlignment="1" applyProtection="1">
      <alignment horizontal="center"/>
    </xf>
    <xf numFmtId="0" fontId="33" fillId="3" borderId="0" xfId="8"/>
    <xf numFmtId="170" fontId="12" fillId="14" borderId="0" xfId="1" applyFont="1" applyFill="1" applyBorder="1" applyProtection="1"/>
    <xf numFmtId="0" fontId="11" fillId="0" borderId="0" xfId="0" applyFont="1"/>
    <xf numFmtId="0" fontId="35" fillId="0" borderId="0" xfId="0" applyFont="1" applyAlignment="1">
      <alignment vertical="top"/>
    </xf>
    <xf numFmtId="2" fontId="2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165" fontId="9" fillId="5" borderId="8" xfId="3" applyNumberFormat="1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165" fontId="9" fillId="5" borderId="12" xfId="3" applyNumberFormat="1" applyFont="1" applyFill="1" applyBorder="1" applyAlignment="1" applyProtection="1">
      <alignment horizontal="center" vertical="center"/>
      <protection locked="0"/>
    </xf>
    <xf numFmtId="0" fontId="9" fillId="6" borderId="13" xfId="0" applyFont="1" applyFill="1" applyBorder="1" applyAlignment="1">
      <alignment horizontal="center"/>
    </xf>
    <xf numFmtId="165" fontId="18" fillId="5" borderId="8" xfId="3" applyNumberFormat="1" applyFont="1" applyFill="1" applyBorder="1" applyAlignment="1" applyProtection="1">
      <alignment horizontal="center" vertical="center"/>
      <protection locked="0"/>
    </xf>
    <xf numFmtId="165" fontId="18" fillId="5" borderId="12" xfId="3" applyNumberFormat="1" applyFont="1" applyFill="1" applyBorder="1" applyAlignment="1" applyProtection="1">
      <alignment horizontal="center" vertical="center"/>
      <protection locked="0"/>
    </xf>
    <xf numFmtId="0" fontId="6" fillId="6" borderId="31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0" fontId="9" fillId="6" borderId="33" xfId="0" applyFont="1" applyFill="1" applyBorder="1" applyAlignment="1">
      <alignment horizontal="center"/>
    </xf>
    <xf numFmtId="0" fontId="9" fillId="6" borderId="39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7" borderId="0" xfId="0" applyFont="1" applyFill="1" applyAlignment="1">
      <alignment horizontal="center"/>
    </xf>
  </cellXfs>
  <cellStyles count="9">
    <cellStyle name="Comma" xfId="1" builtinId="3"/>
    <cellStyle name="Currency" xfId="2" builtinId="4"/>
    <cellStyle name="Currency 2" xfId="4" xr:uid="{00000000-0005-0000-0000-000006000000}"/>
    <cellStyle name="Excel Built-in Bad" xfId="7" xr:uid="{00000000-0005-0000-0000-000009000000}"/>
    <cellStyle name="Excel Built-in Good" xfId="8" xr:uid="{00000000-0005-0000-0000-00000A000000}"/>
    <cellStyle name="Excel Built-in Good 1" xfId="6" xr:uid="{00000000-0005-0000-0000-000008000000}"/>
    <cellStyle name="Excel Built-in Note" xfId="5" xr:uid="{00000000-0005-0000-0000-000007000000}"/>
    <cellStyle name="Normal" xfId="0" builtinId="0"/>
    <cellStyle name="Percent" xfId="3" builtinId="5"/>
  </cellStyles>
  <dxfs count="10">
    <dxf>
      <font>
        <sz val="11"/>
        <color rgb="FF9C0006"/>
        <name val="Aptos Narrow"/>
        <family val="2"/>
      </font>
      <fill>
        <patternFill>
          <bgColor rgb="FFFFC7CE"/>
        </patternFill>
      </fill>
    </dxf>
    <dxf>
      <font>
        <sz val="11"/>
        <color rgb="FF9C0006"/>
        <name val="Aptos Narrow"/>
        <family val="2"/>
      </font>
      <fill>
        <patternFill>
          <bgColor rgb="FFFFC7CE"/>
        </patternFill>
      </fill>
    </dxf>
    <dxf>
      <font>
        <sz val="11"/>
        <color rgb="FF9C0006"/>
        <name val="Aptos Narrow"/>
        <family val="2"/>
      </font>
      <fill>
        <patternFill>
          <bgColor rgb="FFFFC7CE"/>
        </patternFill>
      </fill>
    </dxf>
    <dxf>
      <font>
        <sz val="11"/>
        <color rgb="FF9C0006"/>
        <name val="Aptos Narrow"/>
        <family val="2"/>
      </font>
      <fill>
        <patternFill>
          <bgColor rgb="FFFFC7CE"/>
        </patternFill>
      </fill>
    </dxf>
    <dxf>
      <font>
        <sz val="11"/>
        <color rgb="FF9C0006"/>
        <name val="Aptos Narrow"/>
        <family val="2"/>
      </font>
      <fill>
        <patternFill>
          <bgColor rgb="FFFFC7CE"/>
        </patternFill>
      </fill>
    </dxf>
    <dxf>
      <font>
        <sz val="11"/>
        <color rgb="FF9C0006"/>
        <name val="Aptos Narrow"/>
        <family val="2"/>
      </font>
      <fill>
        <patternFill>
          <bgColor rgb="FFFFC7CE"/>
        </patternFill>
      </fill>
    </dxf>
    <dxf>
      <font>
        <sz val="11"/>
        <color rgb="FF9C0006"/>
        <name val="Aptos Narrow"/>
        <family val="2"/>
      </font>
      <fill>
        <patternFill>
          <bgColor rgb="FFFFC7CE"/>
        </patternFill>
      </fill>
    </dxf>
    <dxf>
      <font>
        <sz val="11"/>
        <color rgb="FF9C0006"/>
        <name val="Aptos Narrow"/>
        <family val="2"/>
      </font>
      <fill>
        <patternFill>
          <bgColor rgb="FFFFC7CE"/>
        </patternFill>
      </fill>
    </dxf>
    <dxf>
      <font>
        <sz val="11"/>
        <color rgb="FF9C0006"/>
        <name val="Aptos Narrow"/>
        <family val="2"/>
      </font>
      <fill>
        <patternFill>
          <bgColor rgb="FFFFC7CE"/>
        </patternFill>
      </fill>
    </dxf>
    <dxf>
      <font>
        <sz val="11"/>
        <color rgb="FF9C0006"/>
        <name val="Aptos Narrow"/>
        <family val="2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CCFF66"/>
      <rgbColor rgb="FF83CBEB"/>
      <rgbColor rgb="FFF2AA84"/>
      <rgbColor rgb="FFCC99FF"/>
      <rgbColor rgb="FFFFC7CE"/>
      <rgbColor rgb="FF3366FF"/>
      <rgbColor rgb="FF47D45A"/>
      <rgbColor rgb="FF99CC00"/>
      <rgbColor rgb="FFFFC000"/>
      <rgbColor rgb="FFFF9900"/>
      <rgbColor rgb="FFFF6600"/>
      <rgbColor rgb="FF666699"/>
      <rgbColor rgb="FF969696"/>
      <rgbColor rgb="FF002060"/>
      <rgbColor rgb="FF4EA72E"/>
      <rgbColor rgb="FF003300"/>
      <rgbColor rgb="FF333300"/>
      <rgbColor rgb="FFC9211E"/>
      <rgbColor rgb="FF993366"/>
      <rgbColor rgb="FF333399"/>
      <rgbColor rgb="FF0E284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1813</xdr:col>
      <xdr:colOff>-334080</xdr:colOff>
      <xdr:row>0</xdr:row>
      <xdr:rowOff>0</xdr:rowOff>
    </xdr:from>
    <xdr:to>
      <xdr:col>1817</xdr:col>
      <xdr:colOff>-90360</xdr:colOff>
      <xdr:row>10</xdr:row>
      <xdr:rowOff>1459440</xdr:rowOff>
    </xdr:to>
    <xdr:sp macro="" textlink="">
      <xdr:nvSpPr>
        <xdr:cNvPr id="2" name="Line Callout 2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-1044583920" y="0"/>
          <a:ext cx="2529720" cy="4147560"/>
        </a:xfrm>
        <a:prstGeom prst="borderCallout2">
          <a:avLst>
            <a:gd name="adj1" fmla="val 46243"/>
            <a:gd name="adj2" fmla="val 100156"/>
            <a:gd name="adj3" fmla="val 54809"/>
            <a:gd name="adj4" fmla="val 180393"/>
            <a:gd name="adj5" fmla="val 75184"/>
            <a:gd name="adj6" fmla="val 191053"/>
          </a:avLst>
        </a:prstGeom>
        <a:solidFill>
          <a:srgbClr val="FFFF00"/>
        </a:solidFill>
        <a:ln w="50760">
          <a:solidFill>
            <a:srgbClr val="0047FF"/>
          </a:solidFill>
          <a:miter/>
          <a:tailEnd type="stealth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t">
          <a:noAutofit/>
        </a:bodyPr>
        <a:lstStyle/>
        <a:p>
          <a:pPr algn="ctr" rtl="1">
            <a:lnSpc>
              <a:spcPct val="100000"/>
            </a:lnSpc>
          </a:pPr>
          <a:r>
            <a:rPr lang="he-IL" sz="1100" b="1" u="sng" strike="noStrike">
              <a:solidFill>
                <a:srgbClr val="002060"/>
              </a:solidFill>
              <a:effectLst/>
              <a:uFillTx/>
              <a:latin typeface="Aptos Narrow"/>
              <a:cs typeface="DejaVu Sans"/>
            </a:rPr>
            <a:t>לדוגמא: נוסחה לחישוב מחיר דירה לפי מכרז מחיר למשתכן:</a:t>
          </a:r>
          <a:endParaRPr lang="en-US" sz="1100" b="0" u="none" strike="noStrike">
            <a:effectLst/>
            <a:uFillTx/>
            <a:latin typeface="Times New Roman"/>
          </a:endParaRPr>
        </a:p>
        <a:p>
          <a:pPr algn="ctr" rtl="1">
            <a:lnSpc>
              <a:spcPct val="100000"/>
            </a:lnSpc>
          </a:pPr>
          <a:endParaRPr lang="en-US" sz="1100" b="0" u="none" strike="noStrike">
            <a:effectLst/>
            <a:uFillTx/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he-IL" sz="1100" b="0" u="none" strike="noStrike">
              <a:solidFill>
                <a:schemeClr val="dk1"/>
              </a:solidFill>
              <a:effectLst/>
              <a:uFillTx/>
              <a:latin typeface="Aptos Narrow"/>
              <a:cs typeface="DejaVu Sans"/>
            </a:rPr>
            <a:t>שטח דירה במטרים - מוכפל במחיר למטר כולל מע"מ בש"ח +</a:t>
          </a:r>
          <a:endParaRPr lang="en-US" sz="1100" b="0" u="none" strike="noStrike">
            <a:effectLst/>
            <a:uFillTx/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he-IL" sz="1100" b="0" u="none" strike="noStrike">
              <a:solidFill>
                <a:schemeClr val="dk1"/>
              </a:solidFill>
              <a:effectLst/>
              <a:uFillTx/>
              <a:latin typeface="Aptos Narrow"/>
              <a:cs typeface="DejaVu Sans"/>
            </a:rPr>
            <a:t>שטח מרפסת שמש ו/או שטח גינה - מוכפל ב- </a:t>
          </a:r>
          <a:r>
            <a:rPr lang="en-US" sz="1100" b="0" u="none" strike="noStrike">
              <a:solidFill>
                <a:schemeClr val="dk1"/>
              </a:solidFill>
              <a:effectLst/>
              <a:uFillTx/>
              <a:latin typeface="Aptos Narrow"/>
              <a:ea typeface="DejaVu Sans"/>
            </a:rPr>
            <a:t>X% מחיר למטר כולל מע"מ בש"ח  + </a:t>
          </a:r>
          <a:endParaRPr lang="en-US" sz="1100" b="0" u="none" strike="noStrike">
            <a:effectLst/>
            <a:uFillTx/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he-IL" sz="1100" b="0" u="none" strike="noStrike">
              <a:solidFill>
                <a:schemeClr val="dk1"/>
              </a:solidFill>
              <a:effectLst/>
              <a:uFillTx/>
              <a:latin typeface="Aptos Narrow"/>
              <a:cs typeface="DejaVu Sans"/>
            </a:rPr>
            <a:t>שטח מחסן - מוכפל ב- </a:t>
          </a:r>
          <a:r>
            <a:rPr lang="en-US" sz="1100" b="0" u="none" strike="noStrike">
              <a:solidFill>
                <a:schemeClr val="dk1"/>
              </a:solidFill>
              <a:effectLst/>
              <a:uFillTx/>
              <a:latin typeface="Aptos Narrow"/>
              <a:ea typeface="DejaVu Sans"/>
            </a:rPr>
            <a:t>X% מחיר למטר כולל מע"מ בש"ח +</a:t>
          </a:r>
          <a:endParaRPr lang="en-US" sz="1100" b="0" u="none" strike="noStrike">
            <a:effectLst/>
            <a:uFillTx/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he-IL" sz="1100" b="0" u="none" strike="noStrike">
              <a:solidFill>
                <a:schemeClr val="dk1"/>
              </a:solidFill>
              <a:effectLst/>
              <a:uFillTx/>
              <a:latin typeface="Aptos Narrow"/>
              <a:cs typeface="DejaVu Sans"/>
            </a:rPr>
            <a:t>מספר חניות - מוכפל ב- </a:t>
          </a:r>
          <a:r>
            <a:rPr lang="en-US" sz="1100" b="0" u="none" strike="noStrike">
              <a:solidFill>
                <a:schemeClr val="dk1"/>
              </a:solidFill>
              <a:effectLst/>
              <a:uFillTx/>
              <a:latin typeface="Aptos Narrow"/>
              <a:ea typeface="DejaVu Sans"/>
            </a:rPr>
            <a:t>X%  מחיר למטר כולל מע"מ בש"ח </a:t>
          </a:r>
          <a:endParaRPr lang="en-US" sz="1100" b="0" u="none" strike="noStrike">
            <a:effectLst/>
            <a:uFillTx/>
            <a:latin typeface="Times New Roman"/>
          </a:endParaRPr>
        </a:p>
        <a:p>
          <a:pPr algn="ctr" rtl="1">
            <a:lnSpc>
              <a:spcPct val="100000"/>
            </a:lnSpc>
          </a:pPr>
          <a:endParaRPr lang="en-US" sz="1100" b="0" u="none" strike="noStrike">
            <a:effectLst/>
            <a:uFillTx/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he-IL" sz="1100" b="1" u="none" strike="noStrike">
              <a:solidFill>
                <a:srgbClr val="FF0000"/>
              </a:solidFill>
              <a:effectLst/>
              <a:uFillTx/>
              <a:latin typeface="Aptos Narrow"/>
              <a:cs typeface="DejaVu Sans"/>
            </a:rPr>
            <a:t>האחוזים יכולים להיות שונים ממכרז למכרז וכמו כן גם שינויים נוספים בתמחורי הדירות כגון מקדמי קומות וכדומה. באחריות הקבלן להוסיף נוסחא לחישוב מחיר הדירה!!!</a:t>
          </a:r>
          <a:endParaRPr lang="en-US" sz="11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1802</xdr:col>
      <xdr:colOff>-333720</xdr:colOff>
      <xdr:row>0</xdr:row>
      <xdr:rowOff>0</xdr:rowOff>
    </xdr:from>
    <xdr:to>
      <xdr:col>1806</xdr:col>
      <xdr:colOff>-89640</xdr:colOff>
      <xdr:row>13</xdr:row>
      <xdr:rowOff>15120</xdr:rowOff>
    </xdr:to>
    <xdr:sp macro="" textlink="">
      <xdr:nvSpPr>
        <xdr:cNvPr id="2" name="Line Callout 2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>
          <a:off x="-1041108120" y="0"/>
          <a:ext cx="2530080" cy="5695920"/>
        </a:xfrm>
        <a:prstGeom prst="borderCallout2">
          <a:avLst>
            <a:gd name="adj1" fmla="val 46243"/>
            <a:gd name="adj2" fmla="val 100156"/>
            <a:gd name="adj3" fmla="val 54809"/>
            <a:gd name="adj4" fmla="val 180393"/>
            <a:gd name="adj5" fmla="val 75184"/>
            <a:gd name="adj6" fmla="val 191053"/>
          </a:avLst>
        </a:prstGeom>
        <a:solidFill>
          <a:srgbClr val="FFFF00"/>
        </a:solidFill>
        <a:ln w="50760">
          <a:solidFill>
            <a:srgbClr val="0047FF"/>
          </a:solidFill>
          <a:miter/>
          <a:tailEnd type="stealth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t">
          <a:noAutofit/>
        </a:bodyPr>
        <a:lstStyle/>
        <a:p>
          <a:pPr algn="ctr" rtl="1">
            <a:lnSpc>
              <a:spcPct val="100000"/>
            </a:lnSpc>
          </a:pPr>
          <a:r>
            <a:rPr lang="he-IL" sz="1100" b="1" u="sng" strike="noStrike">
              <a:solidFill>
                <a:srgbClr val="002060"/>
              </a:solidFill>
              <a:effectLst/>
              <a:uFillTx/>
              <a:latin typeface="Aptos Narrow"/>
              <a:cs typeface="DejaVu Sans"/>
            </a:rPr>
            <a:t>לדוגמא: נוסחה לחישוב מחיר דירה לפי מכרז מחיר למשתכן:</a:t>
          </a:r>
          <a:endParaRPr lang="en-US" sz="1100" b="0" u="none" strike="noStrike">
            <a:effectLst/>
            <a:uFillTx/>
            <a:latin typeface="Times New Roman"/>
          </a:endParaRPr>
        </a:p>
        <a:p>
          <a:pPr algn="ctr" rtl="1">
            <a:lnSpc>
              <a:spcPct val="100000"/>
            </a:lnSpc>
          </a:pPr>
          <a:endParaRPr lang="en-US" sz="1100" b="0" u="none" strike="noStrike">
            <a:effectLst/>
            <a:uFillTx/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he-IL" sz="1100" b="0" u="none" strike="noStrike">
              <a:solidFill>
                <a:schemeClr val="dk1"/>
              </a:solidFill>
              <a:effectLst/>
              <a:uFillTx/>
              <a:latin typeface="Aptos Narrow"/>
              <a:cs typeface="DejaVu Sans"/>
            </a:rPr>
            <a:t>שטח דירה במטרים - מוכפל במחיר למטר כולל מע"מ בש"ח +</a:t>
          </a:r>
          <a:endParaRPr lang="en-US" sz="1100" b="0" u="none" strike="noStrike">
            <a:effectLst/>
            <a:uFillTx/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he-IL" sz="1100" b="0" u="none" strike="noStrike">
              <a:solidFill>
                <a:schemeClr val="dk1"/>
              </a:solidFill>
              <a:effectLst/>
              <a:uFillTx/>
              <a:latin typeface="Aptos Narrow"/>
              <a:cs typeface="DejaVu Sans"/>
            </a:rPr>
            <a:t>שטח מרפסת שמש ו/או שטח גינה - מוכפל ב- </a:t>
          </a:r>
          <a:r>
            <a:rPr lang="en-US" sz="1100" b="0" u="none" strike="noStrike">
              <a:solidFill>
                <a:schemeClr val="dk1"/>
              </a:solidFill>
              <a:effectLst/>
              <a:uFillTx/>
              <a:latin typeface="Aptos Narrow"/>
              <a:ea typeface="DejaVu Sans"/>
            </a:rPr>
            <a:t>X% מחיר למטר כולל מע"מ בש"ח  + </a:t>
          </a:r>
          <a:endParaRPr lang="en-US" sz="1100" b="0" u="none" strike="noStrike">
            <a:effectLst/>
            <a:uFillTx/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he-IL" sz="1100" b="0" u="none" strike="noStrike">
              <a:solidFill>
                <a:schemeClr val="dk1"/>
              </a:solidFill>
              <a:effectLst/>
              <a:uFillTx/>
              <a:latin typeface="Aptos Narrow"/>
              <a:cs typeface="DejaVu Sans"/>
            </a:rPr>
            <a:t>שטח מחסן - מוכפל ב- </a:t>
          </a:r>
          <a:r>
            <a:rPr lang="en-US" sz="1100" b="0" u="none" strike="noStrike">
              <a:solidFill>
                <a:schemeClr val="dk1"/>
              </a:solidFill>
              <a:effectLst/>
              <a:uFillTx/>
              <a:latin typeface="Aptos Narrow"/>
              <a:ea typeface="DejaVu Sans"/>
            </a:rPr>
            <a:t>X% מחיר למטר כולל מע"מ בש"ח +</a:t>
          </a:r>
          <a:endParaRPr lang="en-US" sz="1100" b="0" u="none" strike="noStrike">
            <a:effectLst/>
            <a:uFillTx/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he-IL" sz="1100" b="0" u="none" strike="noStrike">
              <a:solidFill>
                <a:schemeClr val="dk1"/>
              </a:solidFill>
              <a:effectLst/>
              <a:uFillTx/>
              <a:latin typeface="Aptos Narrow"/>
              <a:cs typeface="DejaVu Sans"/>
            </a:rPr>
            <a:t>מספר חניות - מוכפל ב- </a:t>
          </a:r>
          <a:r>
            <a:rPr lang="en-US" sz="1100" b="0" u="none" strike="noStrike">
              <a:solidFill>
                <a:schemeClr val="dk1"/>
              </a:solidFill>
              <a:effectLst/>
              <a:uFillTx/>
              <a:latin typeface="Aptos Narrow"/>
              <a:ea typeface="DejaVu Sans"/>
            </a:rPr>
            <a:t>X%  מחיר למטר כולל מע"מ בש"ח </a:t>
          </a:r>
          <a:endParaRPr lang="en-US" sz="1100" b="0" u="none" strike="noStrike">
            <a:effectLst/>
            <a:uFillTx/>
            <a:latin typeface="Times New Roman"/>
          </a:endParaRPr>
        </a:p>
        <a:p>
          <a:pPr algn="ctr" rtl="1">
            <a:lnSpc>
              <a:spcPct val="100000"/>
            </a:lnSpc>
          </a:pPr>
          <a:endParaRPr lang="en-US" sz="1100" b="0" u="none" strike="noStrike">
            <a:effectLst/>
            <a:uFillTx/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he-IL" sz="1100" b="1" u="none" strike="noStrike">
              <a:solidFill>
                <a:srgbClr val="FF0000"/>
              </a:solidFill>
              <a:effectLst/>
              <a:uFillTx/>
              <a:latin typeface="Aptos Narrow"/>
              <a:cs typeface="DejaVu Sans"/>
            </a:rPr>
            <a:t>האחוזים יכולים להיות שונים ממכרז למכרז וכמו כן גם שינויים נוספים בתמחורי הדירות כגון מקדמי קומות וכדומה. באחריות הקבלן להוסיף נוסחא לחישוב מחיר הדירה!!!</a:t>
          </a:r>
          <a:endParaRPr lang="en-US" sz="11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-1209600</xdr:colOff>
      <xdr:row>14</xdr:row>
      <xdr:rowOff>135360</xdr:rowOff>
    </xdr:from>
    <xdr:to>
      <xdr:col>3</xdr:col>
      <xdr:colOff>-109800</xdr:colOff>
      <xdr:row>19</xdr:row>
      <xdr:rowOff>163440</xdr:rowOff>
    </xdr:to>
    <xdr:sp macro="" textlink="">
      <xdr:nvSpPr>
        <xdr:cNvPr id="2" name="Line Callout 2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flipH="1">
          <a:off x="-3727440" y="3027240"/>
          <a:ext cx="2524320" cy="927000"/>
        </a:xfrm>
        <a:prstGeom prst="borderCallout2">
          <a:avLst>
            <a:gd name="adj1" fmla="val 46243"/>
            <a:gd name="adj2" fmla="val 100156"/>
            <a:gd name="adj3" fmla="val 43222"/>
            <a:gd name="adj4" fmla="val 183128"/>
            <a:gd name="adj5" fmla="val 64810"/>
            <a:gd name="adj6" fmla="val 255094"/>
          </a:avLst>
        </a:prstGeom>
        <a:solidFill>
          <a:srgbClr val="FF0000"/>
        </a:solidFill>
        <a:ln w="50760">
          <a:solidFill>
            <a:srgbClr val="0047FF"/>
          </a:solidFill>
          <a:miter/>
          <a:tailEnd type="stealth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t">
          <a:noAutofit/>
        </a:bodyPr>
        <a:lstStyle/>
        <a:p>
          <a:pPr algn="ctr" rtl="1">
            <a:lnSpc>
              <a:spcPct val="100000"/>
            </a:lnSpc>
          </a:pPr>
          <a:r>
            <a:rPr lang="he-IL" sz="1400" b="1" u="none" strike="noStrike">
              <a:solidFill>
                <a:schemeClr val="lt1"/>
              </a:solidFill>
              <a:effectLst/>
              <a:uFillTx/>
              <a:latin typeface="Aptos Narrow"/>
              <a:cs typeface="DejaVu Sans"/>
            </a:rPr>
            <a:t>לא לשנות את אחוז דירות בשוק החופשי . מחשב ע"פ נוסחה</a:t>
          </a:r>
          <a:endParaRPr lang="en-US" sz="1400" b="0" u="none" strike="noStrike">
            <a:effectLst/>
            <a:uFillTx/>
            <a:latin typeface="Times New Roman"/>
          </a:endParaRPr>
        </a:p>
        <a:p>
          <a:pPr algn="ctr" rtl="1">
            <a:lnSpc>
              <a:spcPct val="100000"/>
            </a:lnSpc>
          </a:pPr>
          <a:endParaRPr lang="en-US" sz="14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hedm-my.sharepoint.com/personal/elran_s_avney-derech_co_il/Documents/Desktop/&#1489;&#1488;&#1512;%20&#1497;&#1506;&#1511;&#1489;%20&#1504;&#1505;&#1508;&#1495;%20&#1490;'4%20&#1500;&#1502;&#1495;&#1497;&#1512;%20&#1502;&#1496;&#1512;&#1492;%20%20&#1502;&#1506;&#1493;&#1491;&#1499;&#1503;%2013.01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a1-my.sharepoint.com/personal/yairka_eta_org_il/Documents/&#1497;&#1488;&#1497;&#1512;/&#1514;&#1499;&#1504;&#1497;&#1501;%20&#1495;&#1493;&#1502;&#1512;&#1497;&#1501;%20&#1493;&#1492;&#1504;&#1495;&#1497;&#1493;&#1514;%20&#1500;&#1497;&#1494;&#1502;&#1497;&#1501;&#1500;&#1506;&#1512;&#1497;&#1499;&#1492;%20&#1500;&#1488;%20&#1500;&#1513;&#1500;&#1497;&#1495;&#1492;/&#1502;&#1506;&#1493;&#1491;&#1499;&#1503;%20&#1504;&#1505;&#1508;&#1495;%20&#1490;'4%20-%20&#1500;&#1492;&#1513;&#1500;&#1502;&#1492;%20&#1506;&#1497;%20&#1492;&#1511;&#1489;&#1500;&#15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מחיר מטרה-שקבלתי מאסתר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מחיר למשתכן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63"/>
  <sheetViews>
    <sheetView rightToLeft="1" topLeftCell="A91" zoomScale="80" zoomScaleNormal="80" workbookViewId="0">
      <selection activeCell="AI147" sqref="AI147"/>
    </sheetView>
  </sheetViews>
  <sheetFormatPr defaultColWidth="9" defaultRowHeight="14.25" customHeight="1" x14ac:dyDescent="0.3"/>
  <cols>
    <col min="1" max="1" width="23" customWidth="1"/>
    <col min="2" max="3" width="6.44140625" customWidth="1"/>
    <col min="4" max="4" width="8.109375" customWidth="1"/>
    <col min="5" max="5" width="5.44140625" customWidth="1"/>
    <col min="6" max="6" width="7.44140625" customWidth="1"/>
    <col min="7" max="7" width="10.44140625" customWidth="1"/>
    <col min="9" max="9" width="12.88671875" customWidth="1"/>
    <col min="10" max="10" width="6.109375" customWidth="1"/>
    <col min="11" max="11" width="17.88671875" customWidth="1"/>
    <col min="12" max="12" width="12.44140625" customWidth="1"/>
    <col min="13" max="13" width="18" customWidth="1"/>
    <col min="14" max="17" width="17.88671875" customWidth="1"/>
    <col min="18" max="18" width="19.5546875" style="1" customWidth="1"/>
    <col min="19" max="19" width="11.44140625" style="2" customWidth="1"/>
    <col min="20" max="20" width="16.44140625" customWidth="1"/>
    <col min="21" max="21" width="10" customWidth="1"/>
    <col min="26" max="26" width="15.5546875" customWidth="1"/>
    <col min="28" max="28" width="11" customWidth="1"/>
  </cols>
  <sheetData>
    <row r="1" spans="1:35" ht="23.4" x14ac:dyDescent="0.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35" ht="62.4" x14ac:dyDescent="0.35">
      <c r="A2" s="5"/>
      <c r="B2" s="5"/>
      <c r="C2" s="1"/>
      <c r="D2" s="1"/>
      <c r="E2" s="1"/>
      <c r="F2" s="407" t="s">
        <v>1</v>
      </c>
      <c r="G2" s="407"/>
      <c r="H2" s="407"/>
      <c r="I2" s="407"/>
      <c r="J2" s="407"/>
      <c r="K2" s="407"/>
      <c r="T2" s="6" t="s">
        <v>2</v>
      </c>
      <c r="U2" s="7" t="s">
        <v>3</v>
      </c>
      <c r="V2" s="8" t="s">
        <v>4</v>
      </c>
      <c r="W2" s="8" t="s">
        <v>5</v>
      </c>
      <c r="X2" s="8" t="s">
        <v>6</v>
      </c>
      <c r="Y2" s="9" t="s">
        <v>7</v>
      </c>
      <c r="AB2" s="10">
        <v>45627</v>
      </c>
    </row>
    <row r="3" spans="1:35" ht="18" x14ac:dyDescent="0.3">
      <c r="A3" s="5"/>
      <c r="B3" s="5"/>
      <c r="C3" s="1"/>
      <c r="D3" s="1"/>
      <c r="E3" s="408" t="s">
        <v>8</v>
      </c>
      <c r="F3" s="408"/>
      <c r="G3" s="408"/>
      <c r="H3" s="408"/>
      <c r="I3" s="408"/>
      <c r="J3" s="408"/>
      <c r="K3" s="408"/>
      <c r="R3" s="1">
        <v>12</v>
      </c>
      <c r="T3" s="11">
        <v>3</v>
      </c>
      <c r="U3" s="12">
        <f>COUNTIF(F12:F146,"3")</f>
        <v>32</v>
      </c>
      <c r="V3" s="12">
        <f>COUNTIFS($L$12:$L$146,"לא",$F$12:$F$146,3)</f>
        <v>12</v>
      </c>
      <c r="W3" s="12">
        <f>COUNTIFS($L$12:$L$146,"כן",$F$12:$F$146,3)</f>
        <v>20</v>
      </c>
      <c r="X3" s="13">
        <f t="shared" ref="X3:X8" si="0">W3/U3</f>
        <v>0.625</v>
      </c>
      <c r="Y3" s="409">
        <f>(W3+W4)/(U3+U4)</f>
        <v>0.62637362637362637</v>
      </c>
      <c r="AB3" s="14">
        <f>AB2+45</f>
        <v>45672</v>
      </c>
    </row>
    <row r="4" spans="1:35" ht="18" x14ac:dyDescent="0.3">
      <c r="A4" s="5"/>
      <c r="B4" s="5"/>
      <c r="C4" s="1"/>
      <c r="D4" s="1"/>
      <c r="E4" s="15"/>
      <c r="F4" s="15"/>
      <c r="G4" s="15"/>
      <c r="H4" s="15"/>
      <c r="I4" s="15"/>
      <c r="J4" s="15"/>
      <c r="K4" s="15"/>
      <c r="R4" s="1">
        <v>22</v>
      </c>
      <c r="T4" s="16">
        <v>4</v>
      </c>
      <c r="U4" s="12">
        <f>COUNTIF(F12:F146,"4")</f>
        <v>59</v>
      </c>
      <c r="V4" s="12">
        <f>COUNTIFS($L$12:$L$146,"לא",$F$12:$F$146,4)</f>
        <v>22</v>
      </c>
      <c r="W4" s="12">
        <f>COUNTIFS($L$12:$L$146,"כן",$F$12:$F$146,4)</f>
        <v>37</v>
      </c>
      <c r="X4" s="17">
        <f t="shared" si="0"/>
        <v>0.6271186440677966</v>
      </c>
      <c r="Y4" s="409"/>
    </row>
    <row r="5" spans="1:35" ht="18" x14ac:dyDescent="0.35">
      <c r="A5" s="18" t="s">
        <v>9</v>
      </c>
      <c r="B5" s="410" t="s">
        <v>10</v>
      </c>
      <c r="C5" s="410"/>
      <c r="F5" s="19"/>
      <c r="G5" s="411"/>
      <c r="H5" s="411"/>
      <c r="I5" s="411"/>
      <c r="J5" s="411"/>
      <c r="K5" s="411"/>
      <c r="R5" s="1">
        <v>26</v>
      </c>
      <c r="T5" s="20">
        <v>5</v>
      </c>
      <c r="U5" s="12">
        <f>COUNTIF(F12:F146,"5")</f>
        <v>36</v>
      </c>
      <c r="V5" s="12">
        <f>COUNTIFS($L$12:$L$146,"לא",$F$12:$F$146,5)</f>
        <v>26</v>
      </c>
      <c r="W5" s="12">
        <f>COUNTIFS($L$12:$L$146,"כן",$F$12:$F$146,5)</f>
        <v>10</v>
      </c>
      <c r="X5" s="17">
        <f t="shared" si="0"/>
        <v>0.27777777777777779</v>
      </c>
      <c r="Y5" s="412">
        <f>(W5+W6+W7)/(U5)</f>
        <v>0.27777777777777779</v>
      </c>
    </row>
    <row r="6" spans="1:35" ht="15.6" x14ac:dyDescent="0.35">
      <c r="A6" s="18" t="s">
        <v>11</v>
      </c>
      <c r="B6" s="413">
        <v>2298</v>
      </c>
      <c r="C6" s="413"/>
      <c r="I6" s="18"/>
      <c r="T6" s="16">
        <v>5.5</v>
      </c>
      <c r="U6" s="12">
        <f>COUNTIF(F12:F146,"5.5")</f>
        <v>1</v>
      </c>
      <c r="V6" s="12">
        <f>COUNTIFS($L$12:$L$146,"לא",$F$12:$F$146,5.5)</f>
        <v>1</v>
      </c>
      <c r="W6" s="12">
        <f>COUNTIFS($L$12:$L$146,"כן",$F$12:$F$146,5.5)</f>
        <v>0</v>
      </c>
      <c r="X6" s="17">
        <f t="shared" si="0"/>
        <v>0</v>
      </c>
      <c r="Y6" s="412"/>
    </row>
    <row r="7" spans="1:35" ht="15.6" x14ac:dyDescent="0.35">
      <c r="A7" s="18" t="s">
        <v>12</v>
      </c>
      <c r="B7" s="21">
        <v>133</v>
      </c>
      <c r="C7" s="22"/>
      <c r="I7" s="18"/>
      <c r="T7" s="20">
        <v>6</v>
      </c>
      <c r="U7" s="12">
        <f>COUNTIF(F12:F146,"6")</f>
        <v>5</v>
      </c>
      <c r="V7" s="12">
        <f>COUNTIFS($L$12:$L$146,"לא",$F$12:$F$146,6)</f>
        <v>5</v>
      </c>
      <c r="W7" s="12">
        <f>COUNTIFS($L$12:$L$146,"כן",$F$12:$F$146,6)</f>
        <v>0</v>
      </c>
      <c r="X7" s="17">
        <f t="shared" si="0"/>
        <v>0</v>
      </c>
      <c r="Y7" s="412"/>
    </row>
    <row r="8" spans="1:35" ht="15.6" x14ac:dyDescent="0.35">
      <c r="A8" s="18" t="s">
        <v>13</v>
      </c>
      <c r="B8" s="18"/>
      <c r="D8" s="23">
        <v>67</v>
      </c>
      <c r="F8" s="24" t="s">
        <v>14</v>
      </c>
      <c r="G8" s="24"/>
      <c r="H8" s="24"/>
      <c r="K8" s="25">
        <f>14657*1.17</f>
        <v>17148.689999999999</v>
      </c>
      <c r="L8" s="24"/>
      <c r="M8" s="24"/>
      <c r="N8" s="24"/>
      <c r="P8" s="26"/>
      <c r="Q8" s="26"/>
      <c r="R8" s="27"/>
      <c r="S8" s="28"/>
      <c r="T8" s="29" t="s">
        <v>15</v>
      </c>
      <c r="U8" s="30">
        <f>SUM(U3:U7)</f>
        <v>133</v>
      </c>
      <c r="V8" s="30">
        <f>SUBTOTAL(9,V3:V7)</f>
        <v>66</v>
      </c>
      <c r="W8" s="31">
        <f>SUBTOTAL(9,W3:W7)</f>
        <v>67</v>
      </c>
      <c r="X8" s="32">
        <f t="shared" si="0"/>
        <v>0.50375939849624063</v>
      </c>
      <c r="Y8" s="33"/>
    </row>
    <row r="9" spans="1:35" ht="15.6" x14ac:dyDescent="0.35">
      <c r="A9" s="18" t="s">
        <v>16</v>
      </c>
      <c r="B9" s="18"/>
      <c r="D9" s="34">
        <f>D8/B7</f>
        <v>0.50375939849624063</v>
      </c>
      <c r="F9" s="35" t="s">
        <v>17</v>
      </c>
      <c r="I9" s="36"/>
      <c r="K9" s="37">
        <v>3.4000000000000002E-2</v>
      </c>
      <c r="N9" s="38"/>
      <c r="P9" s="38"/>
      <c r="Q9" s="38"/>
    </row>
    <row r="10" spans="1:35" ht="15.6" x14ac:dyDescent="0.35">
      <c r="A10" s="18"/>
      <c r="B10" s="18"/>
      <c r="D10" s="39"/>
      <c r="G10" s="40">
        <v>1</v>
      </c>
      <c r="H10" s="41">
        <v>0</v>
      </c>
      <c r="I10" s="40">
        <v>0.4</v>
      </c>
      <c r="J10" s="42">
        <v>2</v>
      </c>
      <c r="M10" s="38"/>
      <c r="N10" s="38"/>
      <c r="O10" s="38"/>
      <c r="P10" s="38"/>
      <c r="Q10" s="38"/>
      <c r="R10" s="43"/>
      <c r="T10" s="40">
        <v>0.3</v>
      </c>
      <c r="U10" s="40">
        <v>0.2</v>
      </c>
      <c r="V10" s="40">
        <v>0.1</v>
      </c>
      <c r="W10" s="40">
        <v>0</v>
      </c>
    </row>
    <row r="11" spans="1:35" s="51" customFormat="1" ht="109.2" x14ac:dyDescent="0.3">
      <c r="A11" s="44" t="s">
        <v>18</v>
      </c>
      <c r="B11" s="45" t="s">
        <v>19</v>
      </c>
      <c r="C11" s="46" t="s">
        <v>20</v>
      </c>
      <c r="D11" s="45" t="s">
        <v>21</v>
      </c>
      <c r="E11" s="46" t="s">
        <v>22</v>
      </c>
      <c r="F11" s="46" t="s">
        <v>23</v>
      </c>
      <c r="G11" s="45" t="s">
        <v>24</v>
      </c>
      <c r="H11" s="45" t="s">
        <v>25</v>
      </c>
      <c r="I11" s="46" t="s">
        <v>26</v>
      </c>
      <c r="J11" s="47" t="s">
        <v>27</v>
      </c>
      <c r="K11" s="48" t="s">
        <v>28</v>
      </c>
      <c r="L11" s="48" t="s">
        <v>29</v>
      </c>
      <c r="M11" s="48" t="s">
        <v>30</v>
      </c>
      <c r="N11" s="48" t="s">
        <v>31</v>
      </c>
      <c r="O11" s="48" t="s">
        <v>32</v>
      </c>
      <c r="P11" s="48" t="s">
        <v>33</v>
      </c>
      <c r="Q11" s="48" t="s">
        <v>34</v>
      </c>
      <c r="R11" s="49" t="s">
        <v>35</v>
      </c>
      <c r="S11" s="49" t="s">
        <v>36</v>
      </c>
      <c r="T11" s="45" t="s">
        <v>37</v>
      </c>
      <c r="U11" s="45" t="s">
        <v>38</v>
      </c>
      <c r="V11" s="45" t="s">
        <v>39</v>
      </c>
      <c r="W11" s="45" t="s">
        <v>40</v>
      </c>
      <c r="X11" s="48" t="s">
        <v>41</v>
      </c>
      <c r="Y11" s="50" t="s">
        <v>42</v>
      </c>
      <c r="Z11" s="50" t="s">
        <v>43</v>
      </c>
      <c r="AA11" s="50" t="s">
        <v>44</v>
      </c>
    </row>
    <row r="12" spans="1:35" ht="27" customHeight="1" x14ac:dyDescent="0.3">
      <c r="A12" s="52" t="s">
        <v>45</v>
      </c>
      <c r="B12" s="53">
        <v>130</v>
      </c>
      <c r="C12" s="53">
        <v>1</v>
      </c>
      <c r="D12" s="54" t="s">
        <v>46</v>
      </c>
      <c r="E12" s="54">
        <v>0</v>
      </c>
      <c r="F12" s="54">
        <v>4</v>
      </c>
      <c r="G12" s="54">
        <v>104.04</v>
      </c>
      <c r="H12" s="54">
        <v>73.45</v>
      </c>
      <c r="I12" s="54">
        <v>5.87</v>
      </c>
      <c r="J12" s="55">
        <v>2</v>
      </c>
      <c r="K12" s="56">
        <f t="shared" ref="K12:K43" si="1">(SUMPRODUCT(H12:J12,$H$10:$J$10)+$G$10*Z12+SUMPRODUCT(T12:W12,$T$10:$W$10))*$K$8</f>
        <v>2173304.9297699998</v>
      </c>
      <c r="L12" s="57" t="s">
        <v>47</v>
      </c>
      <c r="M12" s="56">
        <f t="shared" ref="M12:M51" si="2">K12</f>
        <v>2173304.9297699998</v>
      </c>
      <c r="N12" s="56">
        <f t="shared" ref="N12:N43" si="3">M12-Y12</f>
        <v>1873304.9297699998</v>
      </c>
      <c r="O12" s="56">
        <f t="shared" ref="O12:O43" si="4">M12*(1+$K$9)</f>
        <v>2247197.2973821796</v>
      </c>
      <c r="P12" s="56">
        <f t="shared" ref="P12:P43" si="5">O12-N12</f>
        <v>373892.36761217983</v>
      </c>
      <c r="Q12" s="56">
        <f t="shared" ref="Q12:Q43" si="6">IF(P12&lt;500000,N12,P12-500000+N12)</f>
        <v>1873304.9297699998</v>
      </c>
      <c r="R12" s="58" t="s">
        <v>48</v>
      </c>
      <c r="S12" s="59">
        <v>38</v>
      </c>
      <c r="T12" s="55">
        <f t="shared" ref="T12:T43" si="7">IF((H12)&gt;30,30,(H12))</f>
        <v>30</v>
      </c>
      <c r="U12" s="55">
        <f t="shared" ref="U12:U43" si="8">IF((H12-T12)&gt;30,30,(H12-T12))</f>
        <v>30</v>
      </c>
      <c r="V12" s="60">
        <f t="shared" ref="V12:V43" si="9">IF((H12)&gt;120,60,(H12-T12-U12))</f>
        <v>13.450000000000003</v>
      </c>
      <c r="W12" s="60">
        <f t="shared" ref="W12:W43" si="10">IF((H12)&gt;120,(H12-120),0)</f>
        <v>0</v>
      </c>
      <c r="X12" s="56">
        <f t="shared" ref="X12:X43" si="11">K12*0.2</f>
        <v>434660.98595399997</v>
      </c>
      <c r="Y12" s="61">
        <f t="shared" ref="Y12:Y43" si="12">IF(X12&gt;300000,300000,X12)</f>
        <v>300000</v>
      </c>
      <c r="Z12" s="62">
        <f t="array" ref="Z12">_xlfn.IFS(AND(F12=3,G12&gt;90),(90*1)+((G12-90)*0.15),AND(F12=3.5,G12&gt;100),(100*1)+((G12-100)*0.15),AND(F12=4,G12&gt;110),(110*1)+((G12-110)*0.15),AND(F12=4.5,G12&gt;120),(120*1)+((G12-120)*0.15),AND(F12=5,G12&gt;125),(125*1)+((G12-125)*0.15),AND(F12=5.5,G12&gt;135),(135*1)+((G12-135)*0.15),AND(F12=6,G12&gt;145),(145*1)+((G12-145)*0.15),TRUE(),G12)</f>
        <v>104.04</v>
      </c>
      <c r="AA12" s="63">
        <v>0</v>
      </c>
      <c r="AI12" s="64" t="e">
        <f>L12='[1]מחיר מטרה-שקבלתי מאסתר'!L12</f>
        <v>#REF!</v>
      </c>
    </row>
    <row r="13" spans="1:35" s="75" customFormat="1" ht="27" customHeight="1" x14ac:dyDescent="0.3">
      <c r="A13" s="65" t="s">
        <v>45</v>
      </c>
      <c r="B13" s="66">
        <v>130</v>
      </c>
      <c r="C13" s="66">
        <v>2</v>
      </c>
      <c r="D13" s="67" t="s">
        <v>49</v>
      </c>
      <c r="E13" s="67">
        <v>0</v>
      </c>
      <c r="F13" s="67">
        <v>5</v>
      </c>
      <c r="G13" s="67">
        <v>119.71</v>
      </c>
      <c r="H13" s="67">
        <v>90.53</v>
      </c>
      <c r="I13" s="67">
        <v>11.05</v>
      </c>
      <c r="J13" s="66">
        <v>2</v>
      </c>
      <c r="K13" s="68">
        <f t="shared" si="1"/>
        <v>2506846.9502699999</v>
      </c>
      <c r="L13" s="69" t="s">
        <v>47</v>
      </c>
      <c r="M13" s="68">
        <f t="shared" si="2"/>
        <v>2506846.9502699999</v>
      </c>
      <c r="N13" s="68">
        <f t="shared" si="3"/>
        <v>2206846.9502699999</v>
      </c>
      <c r="O13" s="68">
        <f t="shared" si="4"/>
        <v>2592079.74657918</v>
      </c>
      <c r="P13" s="68">
        <f t="shared" si="5"/>
        <v>385232.79630918009</v>
      </c>
      <c r="Q13" s="68">
        <f t="shared" si="6"/>
        <v>2206846.9502699999</v>
      </c>
      <c r="R13" s="70" t="s">
        <v>50</v>
      </c>
      <c r="S13" s="71">
        <v>4</v>
      </c>
      <c r="T13" s="72">
        <f t="shared" si="7"/>
        <v>30</v>
      </c>
      <c r="U13" s="72">
        <f t="shared" si="8"/>
        <v>30</v>
      </c>
      <c r="V13" s="73">
        <f t="shared" si="9"/>
        <v>30.53</v>
      </c>
      <c r="W13" s="73">
        <f t="shared" si="10"/>
        <v>0</v>
      </c>
      <c r="X13" s="68">
        <f t="shared" si="11"/>
        <v>501369.39005400002</v>
      </c>
      <c r="Y13" s="74">
        <f t="shared" si="12"/>
        <v>300000</v>
      </c>
      <c r="Z13" s="62">
        <f t="array" ref="Z13">_xlfn.IFS(AND(F13=3,G13&gt;90),(90*1)+((G13-90)*0.15),AND(F13=3.5,G13&gt;100),(100*1)+((G13-100)*0.15),AND(F13=4,G13&gt;110),(110*1)+((G13-110)*0.15),AND(F13=4.5,G13&gt;120),(120*1)+((G13-120)*0.15),AND(F13=5,G13&gt;125),(125*1)+((G13-125)*0.15),AND(F13=5.5,G13&gt;135),(135*1)+((G13-135)*0.15),AND(F13=6,G13&gt;145),(145*1)+((G13-145)*0.15),TRUE(),G13)</f>
        <v>119.71</v>
      </c>
      <c r="AA13" s="63">
        <v>0</v>
      </c>
      <c r="AI13" s="76" t="e">
        <f>L13='[1]מחיר מטרה-שקבלתי מאסתר'!L13</f>
        <v>#REF!</v>
      </c>
    </row>
    <row r="14" spans="1:35" ht="14.25" customHeight="1" x14ac:dyDescent="0.3">
      <c r="A14" s="65" t="s">
        <v>45</v>
      </c>
      <c r="B14" s="66">
        <v>130</v>
      </c>
      <c r="C14" s="66">
        <v>3</v>
      </c>
      <c r="D14" s="67" t="s">
        <v>51</v>
      </c>
      <c r="E14" s="67">
        <v>1</v>
      </c>
      <c r="F14" s="67">
        <v>3</v>
      </c>
      <c r="G14" s="67">
        <v>81.180000000000007</v>
      </c>
      <c r="H14" s="67">
        <v>29.02</v>
      </c>
      <c r="I14" s="67">
        <v>6.15</v>
      </c>
      <c r="J14" s="66">
        <v>1</v>
      </c>
      <c r="K14" s="68">
        <f t="shared" si="1"/>
        <v>1617910.3067400001</v>
      </c>
      <c r="L14" s="77" t="s">
        <v>47</v>
      </c>
      <c r="M14" s="68">
        <f t="shared" si="2"/>
        <v>1617910.3067400001</v>
      </c>
      <c r="N14" s="68">
        <f t="shared" si="3"/>
        <v>1317910.3067400001</v>
      </c>
      <c r="O14" s="68">
        <f t="shared" si="4"/>
        <v>1672919.2571691603</v>
      </c>
      <c r="P14" s="68">
        <f t="shared" si="5"/>
        <v>355008.95042916015</v>
      </c>
      <c r="Q14" s="68">
        <f t="shared" si="6"/>
        <v>1317910.3067400001</v>
      </c>
      <c r="R14" s="78" t="s">
        <v>52</v>
      </c>
      <c r="S14" s="71">
        <v>18</v>
      </c>
      <c r="T14" s="72">
        <f t="shared" si="7"/>
        <v>29.02</v>
      </c>
      <c r="U14" s="72">
        <f t="shared" si="8"/>
        <v>0</v>
      </c>
      <c r="V14" s="72">
        <f t="shared" si="9"/>
        <v>0</v>
      </c>
      <c r="W14" s="72">
        <f t="shared" si="10"/>
        <v>0</v>
      </c>
      <c r="X14" s="68">
        <f t="shared" si="11"/>
        <v>323582.06134800008</v>
      </c>
      <c r="Y14" s="74">
        <f t="shared" si="12"/>
        <v>300000</v>
      </c>
      <c r="Z14" s="62">
        <f t="array" ref="Z14">_xlfn.IFS(AND(F14=3,G14&gt;90),(90*1)+((G14-90)*0.15),AND(F14=3.5,G14&gt;100),(100*1)+((G14-100)*0.15),AND(F14=4,G14&gt;110),(110*1)+((G14-110)*0.15),AND(F14=4.5,G14&gt;120),(120*1)+((G14-120)*0.15),AND(F14=5,G14&gt;125),(125*1)+((G14-125)*0.15),AND(F14=5.5,G14&gt;135),(135*1)+((G14-135)*0.15),AND(F14=6,G14&gt;145),(145*1)+((G14-145)*0.15),TRUE(),G14)</f>
        <v>81.180000000000007</v>
      </c>
      <c r="AA14" s="63">
        <v>0</v>
      </c>
      <c r="AI14" s="64" t="e">
        <f>L14='[1]מחיר מטרה-שקבלתי מאסתר'!L14</f>
        <v>#REF!</v>
      </c>
    </row>
    <row r="15" spans="1:35" ht="14.25" customHeight="1" x14ac:dyDescent="0.3">
      <c r="A15" s="65" t="s">
        <v>45</v>
      </c>
      <c r="B15" s="66">
        <v>130</v>
      </c>
      <c r="C15" s="66">
        <v>4</v>
      </c>
      <c r="D15" s="79" t="s">
        <v>53</v>
      </c>
      <c r="E15" s="79">
        <v>1</v>
      </c>
      <c r="F15" s="67">
        <v>4</v>
      </c>
      <c r="G15" s="80">
        <v>103.41</v>
      </c>
      <c r="H15" s="67">
        <v>14.98</v>
      </c>
      <c r="I15" s="80">
        <v>5.87</v>
      </c>
      <c r="J15" s="72">
        <v>1</v>
      </c>
      <c r="K15" s="68">
        <f t="shared" si="1"/>
        <v>1924974.7498799998</v>
      </c>
      <c r="L15" s="79" t="s">
        <v>54</v>
      </c>
      <c r="M15" s="68">
        <f t="shared" si="2"/>
        <v>1924974.7498799998</v>
      </c>
      <c r="N15" s="68">
        <f t="shared" si="3"/>
        <v>1624974.7498799998</v>
      </c>
      <c r="O15" s="68">
        <f t="shared" si="4"/>
        <v>1990423.8913759198</v>
      </c>
      <c r="P15" s="68">
        <f t="shared" si="5"/>
        <v>365449.14149592002</v>
      </c>
      <c r="Q15" s="68">
        <f t="shared" si="6"/>
        <v>1624974.7498799998</v>
      </c>
      <c r="R15" s="78" t="s">
        <v>55</v>
      </c>
      <c r="S15" s="71">
        <v>6</v>
      </c>
      <c r="T15" s="72">
        <f t="shared" si="7"/>
        <v>14.98</v>
      </c>
      <c r="U15" s="72">
        <f t="shared" si="8"/>
        <v>0</v>
      </c>
      <c r="V15" s="72">
        <f t="shared" si="9"/>
        <v>0</v>
      </c>
      <c r="W15" s="72">
        <f t="shared" si="10"/>
        <v>0</v>
      </c>
      <c r="X15" s="68">
        <f t="shared" si="11"/>
        <v>384994.949976</v>
      </c>
      <c r="Y15" s="74">
        <f t="shared" si="12"/>
        <v>300000</v>
      </c>
      <c r="Z15" s="62">
        <f t="array" ref="Z15">_xlfn.IFS(AND(F15=3,G15&gt;90),(90*1)+((G15-90)*0.15),AND(F15=3.5,G15&gt;100),(100*1)+((G15-100)*0.15),AND(F15=4,G15&gt;110),(110*1)+((G15-110)*0.15),AND(F15=4.5,G15&gt;120),(120*1)+((G15-120)*0.15),AND(F15=5,G15&gt;125),(125*1)+((G15-125)*0.15),AND(F15=5.5,G15&gt;135),(135*1)+((G15-135)*0.15),AND(F15=6,G15&gt;145),(145*1)+((G15-145)*0.15),TRUE(),G15)</f>
        <v>103.41</v>
      </c>
      <c r="AA15" s="63">
        <v>0</v>
      </c>
      <c r="AI15" s="64" t="e">
        <f>L15='[1]מחיר מטרה-שקבלתי מאסתר'!L15</f>
        <v>#REF!</v>
      </c>
    </row>
    <row r="16" spans="1:35" ht="14.25" customHeight="1" x14ac:dyDescent="0.3">
      <c r="A16" s="65" t="s">
        <v>45</v>
      </c>
      <c r="B16" s="66">
        <v>130</v>
      </c>
      <c r="C16" s="66">
        <v>5</v>
      </c>
      <c r="D16" s="67" t="s">
        <v>56</v>
      </c>
      <c r="E16" s="67">
        <v>1</v>
      </c>
      <c r="F16" s="67">
        <v>5</v>
      </c>
      <c r="G16" s="67">
        <v>119.71</v>
      </c>
      <c r="H16" s="67">
        <v>14.96</v>
      </c>
      <c r="I16" s="67">
        <v>6.71</v>
      </c>
      <c r="J16" s="66">
        <v>1</v>
      </c>
      <c r="K16" s="68">
        <f t="shared" si="1"/>
        <v>2210157.4645799999</v>
      </c>
      <c r="L16" s="67" t="s">
        <v>54</v>
      </c>
      <c r="M16" s="68">
        <f t="shared" si="2"/>
        <v>2210157.4645799999</v>
      </c>
      <c r="N16" s="68">
        <f t="shared" si="3"/>
        <v>1910157.4645799999</v>
      </c>
      <c r="O16" s="68">
        <f t="shared" si="4"/>
        <v>2285302.8183757202</v>
      </c>
      <c r="P16" s="68">
        <f t="shared" si="5"/>
        <v>375145.35379572026</v>
      </c>
      <c r="Q16" s="68">
        <f t="shared" si="6"/>
        <v>1910157.4645799999</v>
      </c>
      <c r="R16" s="78" t="s">
        <v>52</v>
      </c>
      <c r="S16" s="71">
        <v>17</v>
      </c>
      <c r="T16" s="72">
        <f t="shared" si="7"/>
        <v>14.96</v>
      </c>
      <c r="U16" s="72">
        <f t="shared" si="8"/>
        <v>0</v>
      </c>
      <c r="V16" s="72">
        <f t="shared" si="9"/>
        <v>0</v>
      </c>
      <c r="W16" s="72">
        <f t="shared" si="10"/>
        <v>0</v>
      </c>
      <c r="X16" s="68">
        <f t="shared" si="11"/>
        <v>442031.49291600002</v>
      </c>
      <c r="Y16" s="74">
        <f t="shared" si="12"/>
        <v>300000</v>
      </c>
      <c r="Z16" s="62">
        <f t="array" ref="Z16">_xlfn.IFS(AND(F16=3,G16&gt;90),(90*1)+((G16-90)*0.15),AND(F16=3.5,G16&gt;100),(100*1)+((G16-100)*0.15),AND(F16=4,G16&gt;110),(110*1)+((G16-110)*0.15),AND(F16=4.5,G16&gt;120),(120*1)+((G16-120)*0.15),AND(F16=5,G16&gt;125),(125*1)+((G16-125)*0.15),AND(F16=5.5,G16&gt;135),(135*1)+((G16-135)*0.15),AND(F16=6,G16&gt;145),(145*1)+((G16-145)*0.15),TRUE(),G16)</f>
        <v>119.71</v>
      </c>
      <c r="AA16" s="63">
        <v>0</v>
      </c>
      <c r="AI16" s="64" t="e">
        <f>L16='[1]מחיר מטרה-שקבלתי מאסתר'!L16</f>
        <v>#REF!</v>
      </c>
    </row>
    <row r="17" spans="1:35" ht="14.25" customHeight="1" x14ac:dyDescent="0.3">
      <c r="A17" s="65" t="s">
        <v>45</v>
      </c>
      <c r="B17" s="66">
        <v>130</v>
      </c>
      <c r="C17" s="66">
        <v>6</v>
      </c>
      <c r="D17" s="79" t="s">
        <v>57</v>
      </c>
      <c r="E17" s="79">
        <v>2</v>
      </c>
      <c r="F17" s="67">
        <v>3</v>
      </c>
      <c r="G17" s="80">
        <v>81.180000000000007</v>
      </c>
      <c r="H17" s="67">
        <v>11.98</v>
      </c>
      <c r="I17" s="80">
        <v>6.4</v>
      </c>
      <c r="J17" s="66">
        <v>1</v>
      </c>
      <c r="K17" s="68">
        <f t="shared" si="1"/>
        <v>1531961.0724599999</v>
      </c>
      <c r="L17" s="79" t="s">
        <v>54</v>
      </c>
      <c r="M17" s="68">
        <f t="shared" si="2"/>
        <v>1531961.0724599999</v>
      </c>
      <c r="N17" s="68">
        <f t="shared" si="3"/>
        <v>1231961.0724599999</v>
      </c>
      <c r="O17" s="68">
        <f t="shared" si="4"/>
        <v>1584047.74892364</v>
      </c>
      <c r="P17" s="68">
        <f t="shared" si="5"/>
        <v>352086.67646364006</v>
      </c>
      <c r="Q17" s="68">
        <f t="shared" si="6"/>
        <v>1231961.0724599999</v>
      </c>
      <c r="R17" s="78" t="s">
        <v>55</v>
      </c>
      <c r="S17" s="71">
        <v>3</v>
      </c>
      <c r="T17" s="72">
        <f t="shared" si="7"/>
        <v>11.98</v>
      </c>
      <c r="U17" s="72">
        <f t="shared" si="8"/>
        <v>0</v>
      </c>
      <c r="V17" s="72">
        <f t="shared" si="9"/>
        <v>0</v>
      </c>
      <c r="W17" s="72">
        <f t="shared" si="10"/>
        <v>0</v>
      </c>
      <c r="X17" s="68">
        <f t="shared" si="11"/>
        <v>306392.214492</v>
      </c>
      <c r="Y17" s="74">
        <f t="shared" si="12"/>
        <v>300000</v>
      </c>
      <c r="Z17" s="62">
        <f t="array" ref="Z17">_xlfn.IFS(AND(F17=3,G17&gt;90),(90*1)+((G17-90)*0.15),AND(F17=3.5,G17&gt;100),(100*1)+((G17-100)*0.15),AND(F17=4,G17&gt;110),(110*1)+((G17-110)*0.15),AND(F17=4.5,G17&gt;120),(120*1)+((G17-120)*0.15),AND(F17=5,G17&gt;125),(125*1)+((G17-125)*0.15),AND(F17=5.5,G17&gt;135),(135*1)+((G17-135)*0.15),AND(F17=6,G17&gt;145),(145*1)+((G17-145)*0.15),TRUE(),G17)</f>
        <v>81.180000000000007</v>
      </c>
      <c r="AA17" s="63">
        <v>0</v>
      </c>
      <c r="AI17" s="64" t="e">
        <f>L17='[1]מחיר מטרה-שקבלתי מאסתר'!L17</f>
        <v>#REF!</v>
      </c>
    </row>
    <row r="18" spans="1:35" ht="14.25" customHeight="1" x14ac:dyDescent="0.3">
      <c r="A18" s="65" t="s">
        <v>45</v>
      </c>
      <c r="B18" s="66">
        <v>130</v>
      </c>
      <c r="C18" s="66">
        <v>7</v>
      </c>
      <c r="D18" s="79" t="s">
        <v>53</v>
      </c>
      <c r="E18" s="79">
        <v>2</v>
      </c>
      <c r="F18" s="67">
        <v>4</v>
      </c>
      <c r="G18" s="80">
        <v>103.41</v>
      </c>
      <c r="H18" s="67">
        <v>14.98</v>
      </c>
      <c r="I18" s="80">
        <v>5.87</v>
      </c>
      <c r="J18" s="72">
        <v>1</v>
      </c>
      <c r="K18" s="68">
        <f t="shared" si="1"/>
        <v>1924974.7498799998</v>
      </c>
      <c r="L18" s="79" t="s">
        <v>54</v>
      </c>
      <c r="M18" s="68">
        <f t="shared" si="2"/>
        <v>1924974.7498799998</v>
      </c>
      <c r="N18" s="68">
        <f t="shared" si="3"/>
        <v>1624974.7498799998</v>
      </c>
      <c r="O18" s="68">
        <f t="shared" si="4"/>
        <v>1990423.8913759198</v>
      </c>
      <c r="P18" s="68">
        <f t="shared" si="5"/>
        <v>365449.14149592002</v>
      </c>
      <c r="Q18" s="68">
        <f t="shared" si="6"/>
        <v>1624974.7498799998</v>
      </c>
      <c r="R18" s="78" t="s">
        <v>58</v>
      </c>
      <c r="S18" s="71">
        <v>35</v>
      </c>
      <c r="T18" s="72">
        <f t="shared" si="7"/>
        <v>14.98</v>
      </c>
      <c r="U18" s="72">
        <f t="shared" si="8"/>
        <v>0</v>
      </c>
      <c r="V18" s="72">
        <f t="shared" si="9"/>
        <v>0</v>
      </c>
      <c r="W18" s="72">
        <f t="shared" si="10"/>
        <v>0</v>
      </c>
      <c r="X18" s="68">
        <f t="shared" si="11"/>
        <v>384994.949976</v>
      </c>
      <c r="Y18" s="74">
        <f t="shared" si="12"/>
        <v>300000</v>
      </c>
      <c r="Z18" s="62">
        <f t="array" ref="Z18">_xlfn.IFS(AND(F18=3,G18&gt;90),(90*1)+((G18-90)*0.15),AND(F18=3.5,G18&gt;100),(100*1)+((G18-100)*0.15),AND(F18=4,G18&gt;110),(110*1)+((G18-110)*0.15),AND(F18=4.5,G18&gt;120),(120*1)+((G18-120)*0.15),AND(F18=5,G18&gt;125),(125*1)+((G18-125)*0.15),AND(F18=5.5,G18&gt;135),(135*1)+((G18-135)*0.15),AND(F18=6,G18&gt;145),(145*1)+((G18-145)*0.15),TRUE(),G18)</f>
        <v>103.41</v>
      </c>
      <c r="AA18" s="63">
        <v>0</v>
      </c>
      <c r="AI18" s="64" t="e">
        <f>L18='[1]מחיר מטרה-שקבלתי מאסתר'!L18</f>
        <v>#REF!</v>
      </c>
    </row>
    <row r="19" spans="1:35" ht="14.25" customHeight="1" x14ac:dyDescent="0.3">
      <c r="A19" s="65" t="s">
        <v>45</v>
      </c>
      <c r="B19" s="66">
        <v>130</v>
      </c>
      <c r="C19" s="66">
        <v>8</v>
      </c>
      <c r="D19" s="67" t="s">
        <v>56</v>
      </c>
      <c r="E19" s="67">
        <v>2</v>
      </c>
      <c r="F19" s="67">
        <v>5</v>
      </c>
      <c r="G19" s="67">
        <v>119.71</v>
      </c>
      <c r="H19" s="67">
        <v>14.96</v>
      </c>
      <c r="I19" s="67">
        <v>5.87</v>
      </c>
      <c r="J19" s="66">
        <v>1</v>
      </c>
      <c r="K19" s="68">
        <f t="shared" si="1"/>
        <v>2204395.5047399998</v>
      </c>
      <c r="L19" s="67" t="s">
        <v>54</v>
      </c>
      <c r="M19" s="68">
        <f t="shared" si="2"/>
        <v>2204395.5047399998</v>
      </c>
      <c r="N19" s="68">
        <f t="shared" si="3"/>
        <v>1904395.5047399998</v>
      </c>
      <c r="O19" s="68">
        <f t="shared" si="4"/>
        <v>2279344.9519011597</v>
      </c>
      <c r="P19" s="68">
        <f t="shared" si="5"/>
        <v>374949.44716115994</v>
      </c>
      <c r="Q19" s="68">
        <f t="shared" si="6"/>
        <v>1904395.5047399998</v>
      </c>
      <c r="R19" s="78" t="s">
        <v>52</v>
      </c>
      <c r="S19" s="71">
        <v>23</v>
      </c>
      <c r="T19" s="72">
        <f t="shared" si="7"/>
        <v>14.96</v>
      </c>
      <c r="U19" s="72">
        <f t="shared" si="8"/>
        <v>0</v>
      </c>
      <c r="V19" s="72">
        <f t="shared" si="9"/>
        <v>0</v>
      </c>
      <c r="W19" s="72">
        <f t="shared" si="10"/>
        <v>0</v>
      </c>
      <c r="X19" s="68">
        <f t="shared" si="11"/>
        <v>440879.10094799998</v>
      </c>
      <c r="Y19" s="74">
        <f t="shared" si="12"/>
        <v>300000</v>
      </c>
      <c r="Z19" s="62">
        <f t="array" ref="Z19">_xlfn.IFS(AND(F19=3,G19&gt;90),(90*1)+((G19-90)*0.15),AND(F19=3.5,G19&gt;100),(100*1)+((G19-100)*0.15),AND(F19=4,G19&gt;110),(110*1)+((G19-110)*0.15),AND(F19=4.5,G19&gt;120),(120*1)+((G19-120)*0.15),AND(F19=5,G19&gt;125),(125*1)+((G19-125)*0.15),AND(F19=5.5,G19&gt;135),(135*1)+((G19-135)*0.15),AND(F19=6,G19&gt;145),(145*1)+((G19-145)*0.15),TRUE(),G19)</f>
        <v>119.71</v>
      </c>
      <c r="AA19" s="63">
        <v>0</v>
      </c>
      <c r="AI19" s="64" t="e">
        <f>L19='[1]מחיר מטרה-שקבלתי מאסתר'!L19</f>
        <v>#REF!</v>
      </c>
    </row>
    <row r="20" spans="1:35" ht="14.25" customHeight="1" x14ac:dyDescent="0.3">
      <c r="A20" s="65" t="s">
        <v>45</v>
      </c>
      <c r="B20" s="66">
        <v>130</v>
      </c>
      <c r="C20" s="66">
        <v>9</v>
      </c>
      <c r="D20" s="79" t="s">
        <v>57</v>
      </c>
      <c r="E20" s="79">
        <v>3</v>
      </c>
      <c r="F20" s="67">
        <v>3</v>
      </c>
      <c r="G20" s="80">
        <v>81.180000000000007</v>
      </c>
      <c r="H20" s="67">
        <v>11.98</v>
      </c>
      <c r="I20" s="80">
        <v>6.15</v>
      </c>
      <c r="J20" s="66">
        <v>1</v>
      </c>
      <c r="K20" s="68">
        <f t="shared" si="1"/>
        <v>1530246.20346</v>
      </c>
      <c r="L20" s="79" t="s">
        <v>54</v>
      </c>
      <c r="M20" s="68">
        <f t="shared" si="2"/>
        <v>1530246.20346</v>
      </c>
      <c r="N20" s="68">
        <f t="shared" si="3"/>
        <v>1230246.20346</v>
      </c>
      <c r="O20" s="68">
        <f t="shared" si="4"/>
        <v>1582274.5743776402</v>
      </c>
      <c r="P20" s="68">
        <f t="shared" si="5"/>
        <v>352028.37091764016</v>
      </c>
      <c r="Q20" s="68">
        <f t="shared" si="6"/>
        <v>1230246.20346</v>
      </c>
      <c r="R20" s="78" t="s">
        <v>55</v>
      </c>
      <c r="S20" s="71">
        <v>2</v>
      </c>
      <c r="T20" s="72">
        <f t="shared" si="7"/>
        <v>11.98</v>
      </c>
      <c r="U20" s="72">
        <f t="shared" si="8"/>
        <v>0</v>
      </c>
      <c r="V20" s="72">
        <f t="shared" si="9"/>
        <v>0</v>
      </c>
      <c r="W20" s="72">
        <f t="shared" si="10"/>
        <v>0</v>
      </c>
      <c r="X20" s="68">
        <f t="shared" si="11"/>
        <v>306049.24069200002</v>
      </c>
      <c r="Y20" s="74">
        <f t="shared" si="12"/>
        <v>300000</v>
      </c>
      <c r="Z20" s="62">
        <f t="array" ref="Z20">_xlfn.IFS(AND(F20=3,G20&gt;90),(90*1)+((G20-90)*0.15),AND(F20=3.5,G20&gt;100),(100*1)+((G20-100)*0.15),AND(F20=4,G20&gt;110),(110*1)+((G20-110)*0.15),AND(F20=4.5,G20&gt;120),(120*1)+((G20-120)*0.15),AND(F20=5,G20&gt;125),(125*1)+((G20-125)*0.15),AND(F20=5.5,G20&gt;135),(135*1)+((G20-135)*0.15),AND(F20=6,G20&gt;145),(145*1)+((G20-145)*0.15),TRUE(),G20)</f>
        <v>81.180000000000007</v>
      </c>
      <c r="AA20" s="63">
        <v>0</v>
      </c>
      <c r="AI20" s="64" t="e">
        <f>L20='[1]מחיר מטרה-שקבלתי מאסתר'!L20</f>
        <v>#REF!</v>
      </c>
    </row>
    <row r="21" spans="1:35" ht="14.25" customHeight="1" x14ac:dyDescent="0.3">
      <c r="A21" s="65" t="s">
        <v>45</v>
      </c>
      <c r="B21" s="66">
        <v>130</v>
      </c>
      <c r="C21" s="66">
        <v>10</v>
      </c>
      <c r="D21" s="79" t="s">
        <v>53</v>
      </c>
      <c r="E21" s="79">
        <v>3</v>
      </c>
      <c r="F21" s="67">
        <v>4</v>
      </c>
      <c r="G21" s="80">
        <v>103.41</v>
      </c>
      <c r="H21" s="67">
        <v>14.98</v>
      </c>
      <c r="I21" s="80">
        <v>7.09</v>
      </c>
      <c r="J21" s="72">
        <v>1</v>
      </c>
      <c r="K21" s="68">
        <f t="shared" si="1"/>
        <v>1933343.3105999997</v>
      </c>
      <c r="L21" s="79" t="s">
        <v>54</v>
      </c>
      <c r="M21" s="68">
        <f t="shared" si="2"/>
        <v>1933343.3105999997</v>
      </c>
      <c r="N21" s="68">
        <f t="shared" si="3"/>
        <v>1633343.3105999997</v>
      </c>
      <c r="O21" s="68">
        <f t="shared" si="4"/>
        <v>1999076.9831603998</v>
      </c>
      <c r="P21" s="68">
        <f t="shared" si="5"/>
        <v>365733.6725604001</v>
      </c>
      <c r="Q21" s="68">
        <f t="shared" si="6"/>
        <v>1633343.3105999997</v>
      </c>
      <c r="R21" s="78" t="s">
        <v>55</v>
      </c>
      <c r="S21" s="71">
        <v>11</v>
      </c>
      <c r="T21" s="72">
        <f t="shared" si="7"/>
        <v>14.98</v>
      </c>
      <c r="U21" s="72">
        <f t="shared" si="8"/>
        <v>0</v>
      </c>
      <c r="V21" s="72">
        <f t="shared" si="9"/>
        <v>0</v>
      </c>
      <c r="W21" s="72">
        <f t="shared" si="10"/>
        <v>0</v>
      </c>
      <c r="X21" s="68">
        <f t="shared" si="11"/>
        <v>386668.66211999999</v>
      </c>
      <c r="Y21" s="74">
        <f t="shared" si="12"/>
        <v>300000</v>
      </c>
      <c r="Z21" s="62">
        <f t="array" ref="Z21">_xlfn.IFS(AND(F21=3,G21&gt;90),(90*1)+((G21-90)*0.15),AND(F21=3.5,G21&gt;100),(100*1)+((G21-100)*0.15),AND(F21=4,G21&gt;110),(110*1)+((G21-110)*0.15),AND(F21=4.5,G21&gt;120),(120*1)+((G21-120)*0.15),AND(F21=5,G21&gt;125),(125*1)+((G21-125)*0.15),AND(F21=5.5,G21&gt;135),(135*1)+((G21-135)*0.15),AND(F21=6,G21&gt;145),(145*1)+((G21-145)*0.15),TRUE(),G21)</f>
        <v>103.41</v>
      </c>
      <c r="AA21" s="63">
        <v>0</v>
      </c>
      <c r="AI21" s="64" t="e">
        <f>L21='[1]מחיר מטרה-שקבלתי מאסתר'!L21</f>
        <v>#REF!</v>
      </c>
    </row>
    <row r="22" spans="1:35" ht="14.25" customHeight="1" x14ac:dyDescent="0.3">
      <c r="A22" s="65" t="s">
        <v>45</v>
      </c>
      <c r="B22" s="66">
        <v>130</v>
      </c>
      <c r="C22" s="66">
        <v>11</v>
      </c>
      <c r="D22" s="67" t="s">
        <v>56</v>
      </c>
      <c r="E22" s="67">
        <v>3</v>
      </c>
      <c r="F22" s="67">
        <v>5</v>
      </c>
      <c r="G22" s="67">
        <v>119.71</v>
      </c>
      <c r="H22" s="67">
        <v>14.96</v>
      </c>
      <c r="I22" s="67">
        <v>5.87</v>
      </c>
      <c r="J22" s="66">
        <v>1</v>
      </c>
      <c r="K22" s="68">
        <f t="shared" si="1"/>
        <v>2204395.5047399998</v>
      </c>
      <c r="L22" s="67" t="s">
        <v>54</v>
      </c>
      <c r="M22" s="68">
        <f t="shared" si="2"/>
        <v>2204395.5047399998</v>
      </c>
      <c r="N22" s="68">
        <f t="shared" si="3"/>
        <v>1904395.5047399998</v>
      </c>
      <c r="O22" s="68">
        <f t="shared" si="4"/>
        <v>2279344.9519011597</v>
      </c>
      <c r="P22" s="68">
        <f t="shared" si="5"/>
        <v>374949.44716115994</v>
      </c>
      <c r="Q22" s="68">
        <f t="shared" si="6"/>
        <v>1904395.5047399998</v>
      </c>
      <c r="R22" s="78" t="s">
        <v>52</v>
      </c>
      <c r="S22" s="71">
        <v>22</v>
      </c>
      <c r="T22" s="72">
        <f t="shared" si="7"/>
        <v>14.96</v>
      </c>
      <c r="U22" s="72">
        <f t="shared" si="8"/>
        <v>0</v>
      </c>
      <c r="V22" s="72">
        <f t="shared" si="9"/>
        <v>0</v>
      </c>
      <c r="W22" s="72">
        <f t="shared" si="10"/>
        <v>0</v>
      </c>
      <c r="X22" s="68">
        <f t="shared" si="11"/>
        <v>440879.10094799998</v>
      </c>
      <c r="Y22" s="74">
        <f t="shared" si="12"/>
        <v>300000</v>
      </c>
      <c r="Z22" s="62">
        <f t="array" ref="Z22">_xlfn.IFS(AND(F22=3,G22&gt;90),(90*1)+((G22-90)*0.15),AND(F22=3.5,G22&gt;100),(100*1)+((G22-100)*0.15),AND(F22=4,G22&gt;110),(110*1)+((G22-110)*0.15),AND(F22=4.5,G22&gt;120),(120*1)+((G22-120)*0.15),AND(F22=5,G22&gt;125),(125*1)+((G22-125)*0.15),AND(F22=5.5,G22&gt;135),(135*1)+((G22-135)*0.15),AND(F22=6,G22&gt;145),(145*1)+((G22-145)*0.15),TRUE(),G22)</f>
        <v>119.71</v>
      </c>
      <c r="AA22" s="63">
        <v>0</v>
      </c>
      <c r="AI22" s="64" t="e">
        <f>L22='[1]מחיר מטרה-שקבלתי מאסתר'!L22</f>
        <v>#REF!</v>
      </c>
    </row>
    <row r="23" spans="1:35" ht="14.25" customHeight="1" x14ac:dyDescent="0.3">
      <c r="A23" s="65" t="s">
        <v>45</v>
      </c>
      <c r="B23" s="66">
        <v>130</v>
      </c>
      <c r="C23" s="66">
        <v>12</v>
      </c>
      <c r="D23" s="79" t="s">
        <v>57</v>
      </c>
      <c r="E23" s="79">
        <v>4</v>
      </c>
      <c r="F23" s="67">
        <v>3</v>
      </c>
      <c r="G23" s="80">
        <v>81.180000000000007</v>
      </c>
      <c r="H23" s="67">
        <v>11.98</v>
      </c>
      <c r="I23" s="80">
        <v>6.71</v>
      </c>
      <c r="J23" s="66">
        <v>1</v>
      </c>
      <c r="K23" s="68">
        <f t="shared" si="1"/>
        <v>1534087.5100199999</v>
      </c>
      <c r="L23" s="79" t="s">
        <v>54</v>
      </c>
      <c r="M23" s="68">
        <f t="shared" si="2"/>
        <v>1534087.5100199999</v>
      </c>
      <c r="N23" s="68">
        <f t="shared" si="3"/>
        <v>1234087.5100199999</v>
      </c>
      <c r="O23" s="68">
        <f t="shared" si="4"/>
        <v>1586246.4853606799</v>
      </c>
      <c r="P23" s="68">
        <f t="shared" si="5"/>
        <v>352158.97534067999</v>
      </c>
      <c r="Q23" s="68">
        <f t="shared" si="6"/>
        <v>1234087.5100199999</v>
      </c>
      <c r="R23" s="78" t="s">
        <v>55</v>
      </c>
      <c r="S23" s="71">
        <v>1</v>
      </c>
      <c r="T23" s="72">
        <f t="shared" si="7"/>
        <v>11.98</v>
      </c>
      <c r="U23" s="72">
        <f t="shared" si="8"/>
        <v>0</v>
      </c>
      <c r="V23" s="72">
        <f t="shared" si="9"/>
        <v>0</v>
      </c>
      <c r="W23" s="72">
        <f t="shared" si="10"/>
        <v>0</v>
      </c>
      <c r="X23" s="68">
        <f t="shared" si="11"/>
        <v>306817.50200400001</v>
      </c>
      <c r="Y23" s="74">
        <f t="shared" si="12"/>
        <v>300000</v>
      </c>
      <c r="Z23" s="62">
        <f t="array" ref="Z23">_xlfn.IFS(AND(F23=3,G23&gt;90),(90*1)+((G23-90)*0.15),AND(F23=3.5,G23&gt;100),(100*1)+((G23-100)*0.15),AND(F23=4,G23&gt;110),(110*1)+((G23-110)*0.15),AND(F23=4.5,G23&gt;120),(120*1)+((G23-120)*0.15),AND(F23=5,G23&gt;125),(125*1)+((G23-125)*0.15),AND(F23=5.5,G23&gt;135),(135*1)+((G23-135)*0.15),AND(F23=6,G23&gt;145),(145*1)+((G23-145)*0.15),TRUE(),G23)</f>
        <v>81.180000000000007</v>
      </c>
      <c r="AA23" s="63">
        <v>0</v>
      </c>
      <c r="AI23" s="64" t="e">
        <f>L23='[1]מחיר מטרה-שקבלתי מאסתר'!L23</f>
        <v>#REF!</v>
      </c>
    </row>
    <row r="24" spans="1:35" ht="14.25" customHeight="1" x14ac:dyDescent="0.3">
      <c r="A24" s="65" t="s">
        <v>45</v>
      </c>
      <c r="B24" s="66">
        <v>130</v>
      </c>
      <c r="C24" s="66">
        <v>13</v>
      </c>
      <c r="D24" s="79" t="s">
        <v>53</v>
      </c>
      <c r="E24" s="79">
        <v>4</v>
      </c>
      <c r="F24" s="67">
        <v>4</v>
      </c>
      <c r="G24" s="80">
        <v>103.41</v>
      </c>
      <c r="H24" s="67">
        <v>14.98</v>
      </c>
      <c r="I24" s="80">
        <v>7.09</v>
      </c>
      <c r="J24" s="72">
        <v>1</v>
      </c>
      <c r="K24" s="68">
        <f t="shared" si="1"/>
        <v>1933343.3105999997</v>
      </c>
      <c r="L24" s="79" t="s">
        <v>54</v>
      </c>
      <c r="M24" s="68">
        <f t="shared" si="2"/>
        <v>1933343.3105999997</v>
      </c>
      <c r="N24" s="68">
        <f t="shared" si="3"/>
        <v>1633343.3105999997</v>
      </c>
      <c r="O24" s="68">
        <f t="shared" si="4"/>
        <v>1999076.9831603998</v>
      </c>
      <c r="P24" s="68">
        <f t="shared" si="5"/>
        <v>365733.6725604001</v>
      </c>
      <c r="Q24" s="68">
        <f t="shared" si="6"/>
        <v>1633343.3105999997</v>
      </c>
      <c r="R24" s="78" t="s">
        <v>52</v>
      </c>
      <c r="S24" s="71">
        <v>27</v>
      </c>
      <c r="T24" s="72">
        <f t="shared" si="7"/>
        <v>14.98</v>
      </c>
      <c r="U24" s="72">
        <f t="shared" si="8"/>
        <v>0</v>
      </c>
      <c r="V24" s="72">
        <f t="shared" si="9"/>
        <v>0</v>
      </c>
      <c r="W24" s="72">
        <f t="shared" si="10"/>
        <v>0</v>
      </c>
      <c r="X24" s="68">
        <f t="shared" si="11"/>
        <v>386668.66211999999</v>
      </c>
      <c r="Y24" s="74">
        <f t="shared" si="12"/>
        <v>300000</v>
      </c>
      <c r="Z24" s="62">
        <f t="array" ref="Z24">_xlfn.IFS(AND(F24=3,G24&gt;90),(90*1)+((G24-90)*0.15),AND(F24=3.5,G24&gt;100),(100*1)+((G24-100)*0.15),AND(F24=4,G24&gt;110),(110*1)+((G24-110)*0.15),AND(F24=4.5,G24&gt;120),(120*1)+((G24-120)*0.15),AND(F24=5,G24&gt;125),(125*1)+((G24-125)*0.15),AND(F24=5.5,G24&gt;135),(135*1)+((G24-135)*0.15),AND(F24=6,G24&gt;145),(145*1)+((G24-145)*0.15),TRUE(),G24)</f>
        <v>103.41</v>
      </c>
      <c r="AA24" s="63">
        <v>0</v>
      </c>
      <c r="AI24" s="64" t="e">
        <f>L24='[1]מחיר מטרה-שקבלתי מאסתר'!L24</f>
        <v>#REF!</v>
      </c>
    </row>
    <row r="25" spans="1:35" ht="14.25" customHeight="1" x14ac:dyDescent="0.3">
      <c r="A25" s="65" t="s">
        <v>45</v>
      </c>
      <c r="B25" s="66">
        <v>130</v>
      </c>
      <c r="C25" s="66">
        <v>14</v>
      </c>
      <c r="D25" s="67" t="s">
        <v>56</v>
      </c>
      <c r="E25" s="67">
        <v>4</v>
      </c>
      <c r="F25" s="67">
        <v>5</v>
      </c>
      <c r="G25" s="67">
        <v>119.71</v>
      </c>
      <c r="H25" s="67">
        <v>14.96</v>
      </c>
      <c r="I25" s="67">
        <v>6.4</v>
      </c>
      <c r="J25" s="66">
        <v>1</v>
      </c>
      <c r="K25" s="68">
        <f t="shared" si="1"/>
        <v>2208031.0270199999</v>
      </c>
      <c r="L25" s="67" t="s">
        <v>54</v>
      </c>
      <c r="M25" s="68">
        <f t="shared" si="2"/>
        <v>2208031.0270199999</v>
      </c>
      <c r="N25" s="68">
        <f t="shared" si="3"/>
        <v>1908031.0270199999</v>
      </c>
      <c r="O25" s="68">
        <f t="shared" si="4"/>
        <v>2283104.0819386798</v>
      </c>
      <c r="P25" s="68">
        <f t="shared" si="5"/>
        <v>375073.05491867987</v>
      </c>
      <c r="Q25" s="68">
        <f t="shared" si="6"/>
        <v>1908031.0270199999</v>
      </c>
      <c r="R25" s="78" t="s">
        <v>52</v>
      </c>
      <c r="S25" s="71">
        <v>19</v>
      </c>
      <c r="T25" s="72">
        <f t="shared" si="7"/>
        <v>14.96</v>
      </c>
      <c r="U25" s="72">
        <f t="shared" si="8"/>
        <v>0</v>
      </c>
      <c r="V25" s="72">
        <f t="shared" si="9"/>
        <v>0</v>
      </c>
      <c r="W25" s="72">
        <f t="shared" si="10"/>
        <v>0</v>
      </c>
      <c r="X25" s="68">
        <f t="shared" si="11"/>
        <v>441606.20540400001</v>
      </c>
      <c r="Y25" s="74">
        <f t="shared" si="12"/>
        <v>300000</v>
      </c>
      <c r="Z25" s="62">
        <f t="array" ref="Z25">_xlfn.IFS(AND(F25=3,G25&gt;90),(90*1)+((G25-90)*0.15),AND(F25=3.5,G25&gt;100),(100*1)+((G25-100)*0.15),AND(F25=4,G25&gt;110),(110*1)+((G25-110)*0.15),AND(F25=4.5,G25&gt;120),(120*1)+((G25-120)*0.15),AND(F25=5,G25&gt;125),(125*1)+((G25-125)*0.15),AND(F25=5.5,G25&gt;135),(135*1)+((G25-135)*0.15),AND(F25=6,G25&gt;145),(145*1)+((G25-145)*0.15),TRUE(),G25)</f>
        <v>119.71</v>
      </c>
      <c r="AA25" s="63">
        <v>0</v>
      </c>
      <c r="AI25" s="64" t="e">
        <f>L25='[1]מחיר מטרה-שקבלתי מאסתר'!L25</f>
        <v>#REF!</v>
      </c>
    </row>
    <row r="26" spans="1:35" ht="14.25" customHeight="1" x14ac:dyDescent="0.3">
      <c r="A26" s="65" t="s">
        <v>45</v>
      </c>
      <c r="B26" s="66">
        <v>130</v>
      </c>
      <c r="C26" s="66">
        <v>15</v>
      </c>
      <c r="D26" s="79" t="s">
        <v>59</v>
      </c>
      <c r="E26" s="79">
        <v>5</v>
      </c>
      <c r="F26" s="67">
        <v>3</v>
      </c>
      <c r="G26" s="80">
        <v>81.180000000000007</v>
      </c>
      <c r="H26" s="67">
        <v>11.98</v>
      </c>
      <c r="I26" s="80">
        <v>5.87</v>
      </c>
      <c r="J26" s="66">
        <v>1</v>
      </c>
      <c r="K26" s="68">
        <f t="shared" si="1"/>
        <v>1528325.5501799998</v>
      </c>
      <c r="L26" s="79" t="s">
        <v>54</v>
      </c>
      <c r="M26" s="68">
        <f t="shared" si="2"/>
        <v>1528325.5501799998</v>
      </c>
      <c r="N26" s="68">
        <f t="shared" si="3"/>
        <v>1228325.5501799998</v>
      </c>
      <c r="O26" s="68">
        <f t="shared" si="4"/>
        <v>1580288.6188861199</v>
      </c>
      <c r="P26" s="68">
        <f t="shared" si="5"/>
        <v>351963.06870612013</v>
      </c>
      <c r="Q26" s="68">
        <f t="shared" si="6"/>
        <v>1228325.5501799998</v>
      </c>
      <c r="R26" s="78" t="s">
        <v>58</v>
      </c>
      <c r="S26" s="71">
        <v>36</v>
      </c>
      <c r="T26" s="72">
        <f t="shared" si="7"/>
        <v>11.98</v>
      </c>
      <c r="U26" s="72">
        <f t="shared" si="8"/>
        <v>0</v>
      </c>
      <c r="V26" s="72">
        <f t="shared" si="9"/>
        <v>0</v>
      </c>
      <c r="W26" s="72">
        <f t="shared" si="10"/>
        <v>0</v>
      </c>
      <c r="X26" s="68">
        <f t="shared" si="11"/>
        <v>305665.11003599997</v>
      </c>
      <c r="Y26" s="74">
        <f t="shared" si="12"/>
        <v>300000</v>
      </c>
      <c r="Z26" s="62">
        <f t="array" ref="Z26">_xlfn.IFS(AND(F26=3,G26&gt;90),(90*1)+((G26-90)*0.15),AND(F26=3.5,G26&gt;100),(100*1)+((G26-100)*0.15),AND(F26=4,G26&gt;110),(110*1)+((G26-110)*0.15),AND(F26=4.5,G26&gt;120),(120*1)+((G26-120)*0.15),AND(F26=5,G26&gt;125),(125*1)+((G26-125)*0.15),AND(F26=5.5,G26&gt;135),(135*1)+((G26-135)*0.15),AND(F26=6,G26&gt;145),(145*1)+((G26-145)*0.15),TRUE(),G26)</f>
        <v>81.180000000000007</v>
      </c>
      <c r="AA26" s="63">
        <v>0</v>
      </c>
      <c r="AI26" s="64" t="e">
        <f>L26='[1]מחיר מטרה-שקבלתי מאסתר'!L26</f>
        <v>#REF!</v>
      </c>
    </row>
    <row r="27" spans="1:35" ht="14.25" customHeight="1" x14ac:dyDescent="0.3">
      <c r="A27" s="65" t="s">
        <v>45</v>
      </c>
      <c r="B27" s="66">
        <v>130</v>
      </c>
      <c r="C27" s="66">
        <v>16</v>
      </c>
      <c r="D27" s="79" t="s">
        <v>60</v>
      </c>
      <c r="E27" s="79">
        <v>5</v>
      </c>
      <c r="F27" s="67">
        <v>4</v>
      </c>
      <c r="G27" s="80">
        <v>103.41</v>
      </c>
      <c r="H27" s="67">
        <v>14.98</v>
      </c>
      <c r="I27" s="80">
        <v>7.84</v>
      </c>
      <c r="J27" s="72">
        <v>1</v>
      </c>
      <c r="K27" s="68">
        <f t="shared" si="1"/>
        <v>1938487.9175999998</v>
      </c>
      <c r="L27" s="79" t="s">
        <v>54</v>
      </c>
      <c r="M27" s="68">
        <f t="shared" si="2"/>
        <v>1938487.9175999998</v>
      </c>
      <c r="N27" s="68">
        <f t="shared" si="3"/>
        <v>1638487.9175999998</v>
      </c>
      <c r="O27" s="68">
        <f t="shared" si="4"/>
        <v>2004396.5067983998</v>
      </c>
      <c r="P27" s="68">
        <f t="shared" si="5"/>
        <v>365908.58919840003</v>
      </c>
      <c r="Q27" s="68">
        <f t="shared" si="6"/>
        <v>1638487.9175999998</v>
      </c>
      <c r="R27" s="78" t="s">
        <v>55</v>
      </c>
      <c r="S27" s="71">
        <v>9</v>
      </c>
      <c r="T27" s="72">
        <f t="shared" si="7"/>
        <v>14.98</v>
      </c>
      <c r="U27" s="72">
        <f t="shared" si="8"/>
        <v>0</v>
      </c>
      <c r="V27" s="72">
        <f t="shared" si="9"/>
        <v>0</v>
      </c>
      <c r="W27" s="72">
        <f t="shared" si="10"/>
        <v>0</v>
      </c>
      <c r="X27" s="68">
        <f t="shared" si="11"/>
        <v>387697.58351999999</v>
      </c>
      <c r="Y27" s="74">
        <f t="shared" si="12"/>
        <v>300000</v>
      </c>
      <c r="Z27" s="62">
        <f t="array" ref="Z27">_xlfn.IFS(AND(F27=3,G27&gt;90),(90*1)+((G27-90)*0.15),AND(F27=3.5,G27&gt;100),(100*1)+((G27-100)*0.15),AND(F27=4,G27&gt;110),(110*1)+((G27-110)*0.15),AND(F27=4.5,G27&gt;120),(120*1)+((G27-120)*0.15),AND(F27=5,G27&gt;125),(125*1)+((G27-125)*0.15),AND(F27=5.5,G27&gt;135),(135*1)+((G27-135)*0.15),AND(F27=6,G27&gt;145),(145*1)+((G27-145)*0.15),TRUE(),G27)</f>
        <v>103.41</v>
      </c>
      <c r="AA27" s="63">
        <v>0</v>
      </c>
      <c r="AI27" s="64" t="e">
        <f>L27='[1]מחיר מטרה-שקבלתי מאסתר'!L27</f>
        <v>#REF!</v>
      </c>
    </row>
    <row r="28" spans="1:35" ht="14.25" customHeight="1" x14ac:dyDescent="0.3">
      <c r="A28" s="65" t="s">
        <v>45</v>
      </c>
      <c r="B28" s="66">
        <v>130</v>
      </c>
      <c r="C28" s="66">
        <v>17</v>
      </c>
      <c r="D28" s="79" t="s">
        <v>61</v>
      </c>
      <c r="E28" s="79">
        <v>5</v>
      </c>
      <c r="F28" s="67">
        <v>4</v>
      </c>
      <c r="G28" s="80">
        <v>104.09</v>
      </c>
      <c r="H28" s="67">
        <v>29.91</v>
      </c>
      <c r="I28" s="80">
        <v>5.87</v>
      </c>
      <c r="J28" s="66">
        <v>1</v>
      </c>
      <c r="K28" s="68">
        <f t="shared" si="1"/>
        <v>2013444.8415899999</v>
      </c>
      <c r="L28" s="77" t="s">
        <v>47</v>
      </c>
      <c r="M28" s="68">
        <f t="shared" si="2"/>
        <v>2013444.8415899999</v>
      </c>
      <c r="N28" s="68">
        <f t="shared" si="3"/>
        <v>1713444.8415899999</v>
      </c>
      <c r="O28" s="68">
        <f t="shared" si="4"/>
        <v>2081901.96620406</v>
      </c>
      <c r="P28" s="68">
        <f t="shared" si="5"/>
        <v>368457.12461406016</v>
      </c>
      <c r="Q28" s="68">
        <f t="shared" si="6"/>
        <v>1713444.8415899999</v>
      </c>
      <c r="R28" s="78" t="s">
        <v>52</v>
      </c>
      <c r="S28" s="71">
        <v>39</v>
      </c>
      <c r="T28" s="72">
        <f t="shared" si="7"/>
        <v>29.91</v>
      </c>
      <c r="U28" s="72">
        <f t="shared" si="8"/>
        <v>0</v>
      </c>
      <c r="V28" s="72">
        <f t="shared" si="9"/>
        <v>0</v>
      </c>
      <c r="W28" s="72">
        <f t="shared" si="10"/>
        <v>0</v>
      </c>
      <c r="X28" s="68">
        <f t="shared" si="11"/>
        <v>402688.96831799997</v>
      </c>
      <c r="Y28" s="74">
        <f t="shared" si="12"/>
        <v>300000</v>
      </c>
      <c r="Z28" s="62">
        <f t="array" ref="Z28">_xlfn.IFS(AND(F28=3,G28&gt;90),(90*1)+((G28-90)*0.15),AND(F28=3.5,G28&gt;100),(100*1)+((G28-100)*0.15),AND(F28=4,G28&gt;110),(110*1)+((G28-110)*0.15),AND(F28=4.5,G28&gt;120),(120*1)+((G28-120)*0.15),AND(F28=5,G28&gt;125),(125*1)+((G28-125)*0.15),AND(F28=5.5,G28&gt;135),(135*1)+((G28-135)*0.15),AND(F28=6,G28&gt;145),(145*1)+((G28-145)*0.15),TRUE(),G28)</f>
        <v>104.09</v>
      </c>
      <c r="AA28" s="63">
        <v>0</v>
      </c>
      <c r="AI28" s="64" t="e">
        <f>L28='[1]מחיר מטרה-שקבלתי מאסתר'!L28</f>
        <v>#REF!</v>
      </c>
    </row>
    <row r="29" spans="1:35" ht="14.25" customHeight="1" x14ac:dyDescent="0.3">
      <c r="A29" s="81" t="s">
        <v>45</v>
      </c>
      <c r="B29" s="82">
        <v>130</v>
      </c>
      <c r="C29" s="82">
        <v>18</v>
      </c>
      <c r="D29" s="83" t="s">
        <v>62</v>
      </c>
      <c r="E29" s="83">
        <v>6</v>
      </c>
      <c r="F29" s="83">
        <v>5</v>
      </c>
      <c r="G29" s="83">
        <v>126.62</v>
      </c>
      <c r="H29" s="83">
        <v>63.14</v>
      </c>
      <c r="I29" s="83">
        <v>11.05</v>
      </c>
      <c r="J29" s="82">
        <v>1</v>
      </c>
      <c r="K29" s="84">
        <f t="shared" si="1"/>
        <v>2520463.0101299994</v>
      </c>
      <c r="L29" s="69" t="s">
        <v>47</v>
      </c>
      <c r="M29" s="84">
        <f t="shared" si="2"/>
        <v>2520463.0101299994</v>
      </c>
      <c r="N29" s="84">
        <f t="shared" si="3"/>
        <v>2220463.0101299994</v>
      </c>
      <c r="O29" s="84">
        <f t="shared" si="4"/>
        <v>2606158.7524744193</v>
      </c>
      <c r="P29" s="84">
        <f t="shared" si="5"/>
        <v>385695.74234441994</v>
      </c>
      <c r="Q29" s="84">
        <f t="shared" si="6"/>
        <v>2220463.0101299994</v>
      </c>
      <c r="R29" s="85" t="s">
        <v>52</v>
      </c>
      <c r="S29" s="86">
        <v>20</v>
      </c>
      <c r="T29" s="87">
        <f t="shared" si="7"/>
        <v>30</v>
      </c>
      <c r="U29" s="87">
        <f t="shared" si="8"/>
        <v>30</v>
      </c>
      <c r="V29" s="87">
        <f t="shared" si="9"/>
        <v>3.1400000000000006</v>
      </c>
      <c r="W29" s="87">
        <f t="shared" si="10"/>
        <v>0</v>
      </c>
      <c r="X29" s="84">
        <f t="shared" si="11"/>
        <v>504092.60202599992</v>
      </c>
      <c r="Y29" s="88">
        <f t="shared" si="12"/>
        <v>300000</v>
      </c>
      <c r="Z29" s="89">
        <f t="array" ref="Z29">_xlfn.IFS(AND(F29=3,G29&gt;90),(90*1)+((G29-90)*0.15),AND(F29=3.5,G29&gt;100),(100*1)+((G29-100)*0.15),AND(F29=4,G29&gt;110),(110*1)+((G29-110)*0.15),AND(F29=4.5,G29&gt;120),(120*1)+((G29-120)*0.15),AND(F29=5,G29&gt;125),(125*1)+((G29-125)*0.15),AND(F29=5.5,G29&gt;135),(135*1)+((G29-135)*0.15),AND(F29=6,G29&gt;145),(145*1)+((G29-145)*0.15),TRUE(),G29)</f>
        <v>125.24299999999999</v>
      </c>
      <c r="AA29" s="63">
        <v>0</v>
      </c>
      <c r="AI29" s="64" t="e">
        <f>L29='[1]מחיר מטרה-שקבלתי מאסתר'!L29</f>
        <v>#REF!</v>
      </c>
    </row>
    <row r="30" spans="1:35" ht="14.25" customHeight="1" x14ac:dyDescent="0.3">
      <c r="A30" s="65" t="s">
        <v>45</v>
      </c>
      <c r="B30" s="66">
        <v>130</v>
      </c>
      <c r="C30" s="66">
        <v>19</v>
      </c>
      <c r="D30" s="79" t="s">
        <v>63</v>
      </c>
      <c r="E30" s="79">
        <v>6</v>
      </c>
      <c r="F30" s="67">
        <v>4</v>
      </c>
      <c r="G30" s="80">
        <v>104.09</v>
      </c>
      <c r="H30" s="67">
        <v>14.96</v>
      </c>
      <c r="I30" s="80">
        <v>5.87</v>
      </c>
      <c r="J30" s="72">
        <v>1</v>
      </c>
      <c r="K30" s="68">
        <f t="shared" si="1"/>
        <v>1936532.96694</v>
      </c>
      <c r="L30" s="79" t="s">
        <v>54</v>
      </c>
      <c r="M30" s="68">
        <f t="shared" si="2"/>
        <v>1936532.96694</v>
      </c>
      <c r="N30" s="68">
        <f t="shared" si="3"/>
        <v>1636532.96694</v>
      </c>
      <c r="O30" s="68">
        <f t="shared" si="4"/>
        <v>2002375.0878159599</v>
      </c>
      <c r="P30" s="68">
        <f t="shared" si="5"/>
        <v>365842.12087595998</v>
      </c>
      <c r="Q30" s="68">
        <f t="shared" si="6"/>
        <v>1636532.96694</v>
      </c>
      <c r="R30" s="78" t="s">
        <v>55</v>
      </c>
      <c r="S30" s="71">
        <v>5</v>
      </c>
      <c r="T30" s="72">
        <f t="shared" si="7"/>
        <v>14.96</v>
      </c>
      <c r="U30" s="72">
        <f t="shared" si="8"/>
        <v>0</v>
      </c>
      <c r="V30" s="72">
        <f t="shared" si="9"/>
        <v>0</v>
      </c>
      <c r="W30" s="72">
        <f t="shared" si="10"/>
        <v>0</v>
      </c>
      <c r="X30" s="68">
        <f t="shared" si="11"/>
        <v>387306.59338800004</v>
      </c>
      <c r="Y30" s="74">
        <f t="shared" si="12"/>
        <v>300000</v>
      </c>
      <c r="Z30" s="62">
        <f t="array" ref="Z30">_xlfn.IFS(AND(F30=3,G30&gt;90),(90*1)+((G30-90)*0.15),AND(F30=3.5,G30&gt;100),(100*1)+((G30-100)*0.15),AND(F30=4,G30&gt;110),(110*1)+((G30-110)*0.15),AND(F30=4.5,G30&gt;120),(120*1)+((G30-120)*0.15),AND(F30=5,G30&gt;125),(125*1)+((G30-125)*0.15),AND(F30=5.5,G30&gt;135),(135*1)+((G30-135)*0.15),AND(F30=6,G30&gt;145),(145*1)+((G30-145)*0.15),TRUE(),G30)</f>
        <v>104.09</v>
      </c>
      <c r="AA30" s="63">
        <v>0</v>
      </c>
      <c r="AI30" s="64" t="e">
        <f>L30='[1]מחיר מטרה-שקבלתי מאסתר'!L30</f>
        <v>#REF!</v>
      </c>
    </row>
    <row r="31" spans="1:35" ht="15" customHeight="1" x14ac:dyDescent="0.3">
      <c r="A31" s="90" t="s">
        <v>45</v>
      </c>
      <c r="B31" s="91">
        <v>130</v>
      </c>
      <c r="C31" s="91">
        <v>20</v>
      </c>
      <c r="D31" s="92" t="s">
        <v>64</v>
      </c>
      <c r="E31" s="92">
        <v>7</v>
      </c>
      <c r="F31" s="92">
        <v>6</v>
      </c>
      <c r="G31" s="93">
        <v>171.15</v>
      </c>
      <c r="H31" s="92">
        <v>87.28</v>
      </c>
      <c r="I31" s="93">
        <v>11.05</v>
      </c>
      <c r="J31" s="91">
        <v>1</v>
      </c>
      <c r="K31" s="94">
        <f t="shared" si="1"/>
        <v>2967932.352645</v>
      </c>
      <c r="L31" s="69" t="s">
        <v>47</v>
      </c>
      <c r="M31" s="94">
        <f t="shared" si="2"/>
        <v>2967932.352645</v>
      </c>
      <c r="N31" s="94">
        <f t="shared" si="3"/>
        <v>2667932.352645</v>
      </c>
      <c r="O31" s="94">
        <f t="shared" si="4"/>
        <v>3068842.0526349302</v>
      </c>
      <c r="P31" s="94">
        <f t="shared" si="5"/>
        <v>400909.69998993026</v>
      </c>
      <c r="Q31" s="94">
        <f t="shared" si="6"/>
        <v>2667932.352645</v>
      </c>
      <c r="R31" s="95" t="s">
        <v>58</v>
      </c>
      <c r="S31" s="86">
        <v>33</v>
      </c>
      <c r="T31" s="96">
        <f t="shared" si="7"/>
        <v>30</v>
      </c>
      <c r="U31" s="96">
        <f t="shared" si="8"/>
        <v>30</v>
      </c>
      <c r="V31" s="96">
        <f t="shared" si="9"/>
        <v>27.28</v>
      </c>
      <c r="W31" s="96">
        <f t="shared" si="10"/>
        <v>0</v>
      </c>
      <c r="X31" s="94">
        <f t="shared" si="11"/>
        <v>593586.47052900004</v>
      </c>
      <c r="Y31" s="97">
        <f t="shared" si="12"/>
        <v>300000</v>
      </c>
      <c r="Z31" s="89">
        <f t="array" ref="Z31">_xlfn.IFS(AND(F31=3,G31&gt;90),(90*1)+((G31-90)*0.15),AND(F31=3.5,G31&gt;100),(100*1)+((G31-100)*0.15),AND(F31=4,G31&gt;110),(110*1)+((G31-110)*0.15),AND(F31=4.5,G31&gt;120),(120*1)+((G31-120)*0.15),AND(F31=5,G31&gt;125),(125*1)+((G31-125)*0.15),AND(F31=5.5,G31&gt;135),(135*1)+((G31-135)*0.15),AND(F31=6,G31&gt;145),(145*1)+((G31-145)*0.15),TRUE(),G31)</f>
        <v>148.92250000000001</v>
      </c>
      <c r="AA31" s="63">
        <v>0</v>
      </c>
      <c r="AI31" s="64" t="e">
        <f>L31='[1]מחיר מטרה-שקבלתי מאסתר'!L31</f>
        <v>#REF!</v>
      </c>
    </row>
    <row r="32" spans="1:35" ht="15" customHeight="1" x14ac:dyDescent="0.3">
      <c r="A32" s="98" t="s">
        <v>65</v>
      </c>
      <c r="B32" s="99">
        <v>130</v>
      </c>
      <c r="C32" s="99">
        <v>1</v>
      </c>
      <c r="D32" s="100" t="s">
        <v>46</v>
      </c>
      <c r="E32" s="100">
        <v>0</v>
      </c>
      <c r="F32" s="100">
        <v>4</v>
      </c>
      <c r="G32" s="100">
        <v>104.04</v>
      </c>
      <c r="H32" s="100">
        <v>74.34</v>
      </c>
      <c r="I32" s="100">
        <v>5.87</v>
      </c>
      <c r="J32" s="101">
        <v>2</v>
      </c>
      <c r="K32" s="102">
        <f t="shared" si="1"/>
        <v>2174831.1631799997</v>
      </c>
      <c r="L32" s="77" t="s">
        <v>47</v>
      </c>
      <c r="M32" s="102">
        <f t="shared" si="2"/>
        <v>2174831.1631799997</v>
      </c>
      <c r="N32" s="102">
        <f t="shared" si="3"/>
        <v>1874831.1631799997</v>
      </c>
      <c r="O32" s="102">
        <f t="shared" si="4"/>
        <v>2248775.4227281199</v>
      </c>
      <c r="P32" s="102">
        <f t="shared" si="5"/>
        <v>373944.2595481202</v>
      </c>
      <c r="Q32" s="102">
        <f t="shared" si="6"/>
        <v>1874831.1631799997</v>
      </c>
      <c r="R32" s="103" t="s">
        <v>48</v>
      </c>
      <c r="S32" s="104">
        <v>34</v>
      </c>
      <c r="T32" s="105">
        <f t="shared" si="7"/>
        <v>30</v>
      </c>
      <c r="U32" s="105">
        <f t="shared" si="8"/>
        <v>30</v>
      </c>
      <c r="V32" s="106">
        <f t="shared" si="9"/>
        <v>14.340000000000003</v>
      </c>
      <c r="W32" s="106">
        <f t="shared" si="10"/>
        <v>0</v>
      </c>
      <c r="X32" s="102">
        <f t="shared" si="11"/>
        <v>434966.23263599997</v>
      </c>
      <c r="Y32" s="102">
        <f t="shared" si="12"/>
        <v>300000</v>
      </c>
      <c r="Z32" s="62">
        <f t="array" ref="Z32">_xlfn.IFS(AND(F32=3,G32&gt;90),(90*1)+((G32-90)*0.15),AND(F32=3.5,G32&gt;100),(100*1)+((G32-100)*0.15),AND(F32=4,G32&gt;110),(110*1)+((G32-110)*0.15),AND(F32=4.5,G32&gt;120),(120*1)+((G32-120)*0.15),AND(F32=5,G32&gt;125),(125*1)+((G32-125)*0.15),AND(F32=5.5,G32&gt;135),(135*1)+((G32-135)*0.15),AND(F32=6,G32&gt;145),(145*1)+((G32-145)*0.15),TRUE(),G32)</f>
        <v>104.04</v>
      </c>
      <c r="AA32" s="63">
        <v>0</v>
      </c>
    </row>
    <row r="33" spans="1:35" ht="27" customHeight="1" x14ac:dyDescent="0.3">
      <c r="A33" s="52" t="s">
        <v>65</v>
      </c>
      <c r="B33" s="53">
        <v>130</v>
      </c>
      <c r="C33" s="53">
        <v>2</v>
      </c>
      <c r="D33" s="54" t="s">
        <v>49</v>
      </c>
      <c r="E33" s="54">
        <v>0</v>
      </c>
      <c r="F33" s="54">
        <v>5</v>
      </c>
      <c r="G33" s="54">
        <v>119.71</v>
      </c>
      <c r="H33" s="54">
        <v>99.73</v>
      </c>
      <c r="I33" s="54">
        <v>11.05</v>
      </c>
      <c r="J33" s="107">
        <v>2</v>
      </c>
      <c r="K33" s="68">
        <f t="shared" si="1"/>
        <v>2522623.7450700002</v>
      </c>
      <c r="L33" s="69" t="s">
        <v>47</v>
      </c>
      <c r="M33" s="56">
        <f t="shared" si="2"/>
        <v>2522623.7450700002</v>
      </c>
      <c r="N33" s="56">
        <f t="shared" si="3"/>
        <v>2222623.7450700002</v>
      </c>
      <c r="O33" s="56">
        <f t="shared" si="4"/>
        <v>2608392.9524023803</v>
      </c>
      <c r="P33" s="56">
        <f t="shared" si="5"/>
        <v>385769.20733238012</v>
      </c>
      <c r="Q33" s="56">
        <f t="shared" si="6"/>
        <v>2222623.7450700002</v>
      </c>
      <c r="R33" s="58" t="s">
        <v>66</v>
      </c>
      <c r="S33" s="108">
        <v>8</v>
      </c>
      <c r="T33" s="55">
        <f t="shared" si="7"/>
        <v>30</v>
      </c>
      <c r="U33" s="55">
        <f t="shared" si="8"/>
        <v>30</v>
      </c>
      <c r="V33" s="60">
        <f t="shared" si="9"/>
        <v>39.730000000000004</v>
      </c>
      <c r="W33" s="60">
        <f t="shared" si="10"/>
        <v>0</v>
      </c>
      <c r="X33" s="56">
        <f t="shared" si="11"/>
        <v>504524.74901400006</v>
      </c>
      <c r="Y33" s="61">
        <f t="shared" si="12"/>
        <v>300000</v>
      </c>
      <c r="Z33" s="62">
        <f t="array" ref="Z33">_xlfn.IFS(AND(F33=3,G33&gt;90),(90*1)+((G33-90)*0.15),AND(F33=3.5,G33&gt;100),(100*1)+((G33-100)*0.15),AND(F33=4,G33&gt;110),(110*1)+((G33-110)*0.15),AND(F33=4.5,G33&gt;120),(120*1)+((G33-120)*0.15),AND(F33=5,G33&gt;125),(125*1)+((G33-125)*0.15),AND(F33=5.5,G33&gt;135),(135*1)+((G33-135)*0.15),AND(F33=6,G33&gt;145),(145*1)+((G33-145)*0.15),TRUE(),G33)</f>
        <v>119.71</v>
      </c>
      <c r="AA33" s="63">
        <v>0</v>
      </c>
      <c r="AI33" s="64" t="e">
        <f>L33='[1]מחיר מטרה-שקבלתי מאסתר'!L33</f>
        <v>#REF!</v>
      </c>
    </row>
    <row r="34" spans="1:35" s="75" customFormat="1" ht="27" customHeight="1" x14ac:dyDescent="0.3">
      <c r="A34" s="65" t="s">
        <v>65</v>
      </c>
      <c r="B34" s="66">
        <v>130</v>
      </c>
      <c r="C34" s="66">
        <v>3</v>
      </c>
      <c r="D34" s="67" t="s">
        <v>51</v>
      </c>
      <c r="E34" s="67">
        <v>1</v>
      </c>
      <c r="F34" s="67">
        <v>3</v>
      </c>
      <c r="G34" s="67">
        <v>81.180000000000007</v>
      </c>
      <c r="H34" s="67">
        <v>29.02</v>
      </c>
      <c r="I34" s="80">
        <v>5.69</v>
      </c>
      <c r="J34" s="109">
        <v>1</v>
      </c>
      <c r="K34" s="68">
        <f t="shared" si="1"/>
        <v>1614754.94778</v>
      </c>
      <c r="L34" s="77" t="s">
        <v>47</v>
      </c>
      <c r="M34" s="68">
        <f t="shared" si="2"/>
        <v>1614754.94778</v>
      </c>
      <c r="N34" s="68">
        <f t="shared" si="3"/>
        <v>1314754.94778</v>
      </c>
      <c r="O34" s="68">
        <f t="shared" si="4"/>
        <v>1669656.6160045201</v>
      </c>
      <c r="P34" s="68">
        <f t="shared" si="5"/>
        <v>354901.66822452005</v>
      </c>
      <c r="Q34" s="68">
        <f t="shared" si="6"/>
        <v>1314754.94778</v>
      </c>
      <c r="R34" s="78" t="s">
        <v>52</v>
      </c>
      <c r="S34" s="110">
        <v>28</v>
      </c>
      <c r="T34" s="72">
        <f t="shared" si="7"/>
        <v>29.02</v>
      </c>
      <c r="U34" s="72">
        <f t="shared" si="8"/>
        <v>0</v>
      </c>
      <c r="V34" s="72">
        <f t="shared" si="9"/>
        <v>0</v>
      </c>
      <c r="W34" s="72">
        <f t="shared" si="10"/>
        <v>0</v>
      </c>
      <c r="X34" s="68">
        <f t="shared" si="11"/>
        <v>322950.98955600004</v>
      </c>
      <c r="Y34" s="74">
        <f t="shared" si="12"/>
        <v>300000</v>
      </c>
      <c r="Z34" s="62">
        <f t="array" ref="Z34">_xlfn.IFS(AND(F34=3,G34&gt;90),(90*1)+((G34-90)*0.15),AND(F34=3.5,G34&gt;100),(100*1)+((G34-100)*0.15),AND(F34=4,G34&gt;110),(110*1)+((G34-110)*0.15),AND(F34=4.5,G34&gt;120),(120*1)+((G34-120)*0.15),AND(F34=5,G34&gt;125),(125*1)+((G34-125)*0.15),AND(F34=5.5,G34&gt;135),(135*1)+((G34-135)*0.15),AND(F34=6,G34&gt;145),(145*1)+((G34-145)*0.15),TRUE(),G34)</f>
        <v>81.180000000000007</v>
      </c>
      <c r="AA34" s="63">
        <v>0</v>
      </c>
      <c r="AI34" s="76" t="e">
        <f>L34='[1]מחיר מטרה-שקבלתי מאסתר'!L34</f>
        <v>#REF!</v>
      </c>
    </row>
    <row r="35" spans="1:35" ht="14.25" customHeight="1" x14ac:dyDescent="0.3">
      <c r="A35" s="65" t="s">
        <v>65</v>
      </c>
      <c r="B35" s="66">
        <v>130</v>
      </c>
      <c r="C35" s="66">
        <v>4</v>
      </c>
      <c r="D35" s="79" t="s">
        <v>53</v>
      </c>
      <c r="E35" s="79">
        <v>1</v>
      </c>
      <c r="F35" s="67">
        <v>4</v>
      </c>
      <c r="G35" s="80">
        <v>103.41</v>
      </c>
      <c r="H35" s="67">
        <v>14.98</v>
      </c>
      <c r="I35" s="80">
        <v>7.2</v>
      </c>
      <c r="J35" s="109">
        <v>1</v>
      </c>
      <c r="K35" s="68">
        <f t="shared" si="1"/>
        <v>1934097.8529599998</v>
      </c>
      <c r="L35" s="79" t="s">
        <v>54</v>
      </c>
      <c r="M35" s="68">
        <f t="shared" si="2"/>
        <v>1934097.8529599998</v>
      </c>
      <c r="N35" s="68">
        <f t="shared" si="3"/>
        <v>1634097.8529599998</v>
      </c>
      <c r="O35" s="68">
        <f t="shared" si="4"/>
        <v>1999857.1799606399</v>
      </c>
      <c r="P35" s="68">
        <f t="shared" si="5"/>
        <v>365759.3270006401</v>
      </c>
      <c r="Q35" s="68">
        <f t="shared" si="6"/>
        <v>1634097.8529599998</v>
      </c>
      <c r="R35" s="78" t="s">
        <v>55</v>
      </c>
      <c r="S35" s="110">
        <v>15</v>
      </c>
      <c r="T35" s="72">
        <f t="shared" si="7"/>
        <v>14.98</v>
      </c>
      <c r="U35" s="72">
        <f t="shared" si="8"/>
        <v>0</v>
      </c>
      <c r="V35" s="72">
        <f t="shared" si="9"/>
        <v>0</v>
      </c>
      <c r="W35" s="72">
        <f t="shared" si="10"/>
        <v>0</v>
      </c>
      <c r="X35" s="68">
        <f t="shared" si="11"/>
        <v>386819.57059199997</v>
      </c>
      <c r="Y35" s="74">
        <f t="shared" si="12"/>
        <v>300000</v>
      </c>
      <c r="Z35" s="62">
        <f t="array" ref="Z35">_xlfn.IFS(AND(F35=3,G35&gt;90),(90*1)+((G35-90)*0.15),AND(F35=3.5,G35&gt;100),(100*1)+((G35-100)*0.15),AND(F35=4,G35&gt;110),(110*1)+((G35-110)*0.15),AND(F35=4.5,G35&gt;120),(120*1)+((G35-120)*0.15),AND(F35=5,G35&gt;125),(125*1)+((G35-125)*0.15),AND(F35=5.5,G35&gt;135),(135*1)+((G35-135)*0.15),AND(F35=6,G35&gt;145),(145*1)+((G35-145)*0.15),TRUE(),G35)</f>
        <v>103.41</v>
      </c>
      <c r="AA35" s="63">
        <v>0</v>
      </c>
      <c r="AI35" s="64" t="e">
        <f>L35='[1]מחיר מטרה-שקבלתי מאסתר'!L35</f>
        <v>#REF!</v>
      </c>
    </row>
    <row r="36" spans="1:35" ht="14.25" customHeight="1" x14ac:dyDescent="0.3">
      <c r="A36" s="65" t="s">
        <v>65</v>
      </c>
      <c r="B36" s="66">
        <v>130</v>
      </c>
      <c r="C36" s="66">
        <v>5</v>
      </c>
      <c r="D36" s="67" t="s">
        <v>56</v>
      </c>
      <c r="E36" s="67">
        <v>1</v>
      </c>
      <c r="F36" s="67">
        <v>5</v>
      </c>
      <c r="G36" s="67">
        <v>119.71</v>
      </c>
      <c r="H36" s="67">
        <v>14.96</v>
      </c>
      <c r="I36" s="67">
        <v>7.84</v>
      </c>
      <c r="J36" s="109">
        <v>1</v>
      </c>
      <c r="K36" s="68">
        <f t="shared" si="1"/>
        <v>2217908.67246</v>
      </c>
      <c r="L36" s="77" t="s">
        <v>47</v>
      </c>
      <c r="M36" s="68">
        <f t="shared" si="2"/>
        <v>2217908.67246</v>
      </c>
      <c r="N36" s="68">
        <f t="shared" si="3"/>
        <v>1917908.67246</v>
      </c>
      <c r="O36" s="68">
        <f t="shared" si="4"/>
        <v>2293317.56732364</v>
      </c>
      <c r="P36" s="68">
        <f t="shared" si="5"/>
        <v>375408.89486363996</v>
      </c>
      <c r="Q36" s="68">
        <f t="shared" si="6"/>
        <v>1917908.67246</v>
      </c>
      <c r="R36" s="78" t="s">
        <v>55</v>
      </c>
      <c r="S36" s="110">
        <v>10</v>
      </c>
      <c r="T36" s="72">
        <f t="shared" si="7"/>
        <v>14.96</v>
      </c>
      <c r="U36" s="72">
        <f t="shared" si="8"/>
        <v>0</v>
      </c>
      <c r="V36" s="72">
        <f t="shared" si="9"/>
        <v>0</v>
      </c>
      <c r="W36" s="72">
        <f t="shared" si="10"/>
        <v>0</v>
      </c>
      <c r="X36" s="68">
        <f t="shared" si="11"/>
        <v>443581.73449200002</v>
      </c>
      <c r="Y36" s="74">
        <f t="shared" si="12"/>
        <v>300000</v>
      </c>
      <c r="Z36" s="62">
        <f t="array" ref="Z36">_xlfn.IFS(AND(F36=3,G36&gt;90),(90*1)+((G36-90)*0.15),AND(F36=3.5,G36&gt;100),(100*1)+((G36-100)*0.15),AND(F36=4,G36&gt;110),(110*1)+((G36-110)*0.15),AND(F36=4.5,G36&gt;120),(120*1)+((G36-120)*0.15),AND(F36=5,G36&gt;125),(125*1)+((G36-125)*0.15),AND(F36=5.5,G36&gt;135),(135*1)+((G36-135)*0.15),AND(F36=6,G36&gt;145),(145*1)+((G36-145)*0.15),TRUE(),G36)</f>
        <v>119.71</v>
      </c>
      <c r="AA36" s="63">
        <v>0</v>
      </c>
      <c r="AG36" s="111">
        <v>1634097.85296</v>
      </c>
      <c r="AI36" s="64" t="e">
        <f>L36='[1]מחיר מטרה-שקבלתי מאסתר'!L36</f>
        <v>#REF!</v>
      </c>
    </row>
    <row r="37" spans="1:35" ht="14.25" customHeight="1" x14ac:dyDescent="0.3">
      <c r="A37" s="65" t="s">
        <v>65</v>
      </c>
      <c r="B37" s="66">
        <v>130</v>
      </c>
      <c r="C37" s="66">
        <v>6</v>
      </c>
      <c r="D37" s="79" t="s">
        <v>57</v>
      </c>
      <c r="E37" s="79">
        <v>2</v>
      </c>
      <c r="F37" s="67">
        <v>3</v>
      </c>
      <c r="G37" s="80">
        <v>81.180000000000007</v>
      </c>
      <c r="H37" s="67">
        <v>11.98</v>
      </c>
      <c r="I37" s="80">
        <v>5.87</v>
      </c>
      <c r="J37" s="109">
        <v>1</v>
      </c>
      <c r="K37" s="68">
        <f t="shared" si="1"/>
        <v>1528325.5501799998</v>
      </c>
      <c r="L37" s="79" t="s">
        <v>54</v>
      </c>
      <c r="M37" s="68">
        <f t="shared" si="2"/>
        <v>1528325.5501799998</v>
      </c>
      <c r="N37" s="68">
        <f t="shared" si="3"/>
        <v>1228325.5501799998</v>
      </c>
      <c r="O37" s="68">
        <f t="shared" si="4"/>
        <v>1580288.6188861199</v>
      </c>
      <c r="P37" s="68">
        <f t="shared" si="5"/>
        <v>351963.06870612013</v>
      </c>
      <c r="Q37" s="68">
        <f t="shared" si="6"/>
        <v>1228325.5501799998</v>
      </c>
      <c r="R37" s="78" t="s">
        <v>55</v>
      </c>
      <c r="S37" s="110">
        <v>40</v>
      </c>
      <c r="T37" s="72">
        <f t="shared" si="7"/>
        <v>11.98</v>
      </c>
      <c r="U37" s="72">
        <f t="shared" si="8"/>
        <v>0</v>
      </c>
      <c r="V37" s="72">
        <f t="shared" si="9"/>
        <v>0</v>
      </c>
      <c r="W37" s="72">
        <f t="shared" si="10"/>
        <v>0</v>
      </c>
      <c r="X37" s="68">
        <f t="shared" si="11"/>
        <v>305665.11003599997</v>
      </c>
      <c r="Y37" s="74">
        <f t="shared" si="12"/>
        <v>300000</v>
      </c>
      <c r="Z37" s="62">
        <f t="array" ref="Z37">_xlfn.IFS(AND(F37=3,G37&gt;90),(90*1)+((G37-90)*0.15),AND(F37=3.5,G37&gt;100),(100*1)+((G37-100)*0.15),AND(F37=4,G37&gt;110),(110*1)+((G37-110)*0.15),AND(F37=4.5,G37&gt;120),(120*1)+((G37-120)*0.15),AND(F37=5,G37&gt;125),(125*1)+((G37-125)*0.15),AND(F37=5.5,G37&gt;135),(135*1)+((G37-135)*0.15),AND(F37=6,G37&gt;145),(145*1)+((G37-145)*0.15),TRUE(),G37)</f>
        <v>81.180000000000007</v>
      </c>
      <c r="AA37" s="63">
        <v>0</v>
      </c>
      <c r="AI37" s="64" t="e">
        <f>L37='[1]מחיר מטרה-שקבלתי מאסתר'!L37</f>
        <v>#REF!</v>
      </c>
    </row>
    <row r="38" spans="1:35" ht="14.25" customHeight="1" x14ac:dyDescent="0.3">
      <c r="A38" s="65" t="s">
        <v>65</v>
      </c>
      <c r="B38" s="66">
        <v>130</v>
      </c>
      <c r="C38" s="66">
        <v>7</v>
      </c>
      <c r="D38" s="79" t="s">
        <v>53</v>
      </c>
      <c r="E38" s="79">
        <v>2</v>
      </c>
      <c r="F38" s="67">
        <v>4</v>
      </c>
      <c r="G38" s="80">
        <v>103.41</v>
      </c>
      <c r="H38" s="67">
        <v>14.98</v>
      </c>
      <c r="I38" s="80">
        <v>7.09</v>
      </c>
      <c r="J38" s="109">
        <v>2</v>
      </c>
      <c r="K38" s="68">
        <f t="shared" si="1"/>
        <v>1967640.6905999999</v>
      </c>
      <c r="L38" s="79" t="s">
        <v>54</v>
      </c>
      <c r="M38" s="68">
        <f t="shared" si="2"/>
        <v>1967640.6905999999</v>
      </c>
      <c r="N38" s="68">
        <f t="shared" si="3"/>
        <v>1667640.6905999999</v>
      </c>
      <c r="O38" s="68">
        <f t="shared" si="4"/>
        <v>2034540.4740803998</v>
      </c>
      <c r="P38" s="68">
        <f t="shared" si="5"/>
        <v>366899.78348039999</v>
      </c>
      <c r="Q38" s="68">
        <f t="shared" si="6"/>
        <v>1667640.6905999999</v>
      </c>
      <c r="R38" s="78" t="s">
        <v>55</v>
      </c>
      <c r="S38" s="110">
        <v>13</v>
      </c>
      <c r="T38" s="72">
        <f t="shared" si="7"/>
        <v>14.98</v>
      </c>
      <c r="U38" s="72">
        <f t="shared" si="8"/>
        <v>0</v>
      </c>
      <c r="V38" s="72">
        <f t="shared" si="9"/>
        <v>0</v>
      </c>
      <c r="W38" s="72">
        <f t="shared" si="10"/>
        <v>0</v>
      </c>
      <c r="X38" s="68">
        <f t="shared" si="11"/>
        <v>393528.13812000002</v>
      </c>
      <c r="Y38" s="74">
        <f t="shared" si="12"/>
        <v>300000</v>
      </c>
      <c r="Z38" s="62">
        <f t="array" ref="Z38">_xlfn.IFS(AND(F38=3,G38&gt;90),(90*1)+((G38-90)*0.15),AND(F38=3.5,G38&gt;100),(100*1)+((G38-100)*0.15),AND(F38=4,G38&gt;110),(110*1)+((G38-110)*0.15),AND(F38=4.5,G38&gt;120),(120*1)+((G38-120)*0.15),AND(F38=5,G38&gt;125),(125*1)+((G38-125)*0.15),AND(F38=5.5,G38&gt;135),(135*1)+((G38-135)*0.15),AND(F38=6,G38&gt;145),(145*1)+((G38-145)*0.15),TRUE(),G38)</f>
        <v>103.41</v>
      </c>
      <c r="AA38" s="63">
        <v>0</v>
      </c>
      <c r="AI38" s="64" t="e">
        <f>L38='[1]מחיר מטרה-שקבלתי מאסתר'!L38</f>
        <v>#REF!</v>
      </c>
    </row>
    <row r="39" spans="1:35" ht="14.25" customHeight="1" x14ac:dyDescent="0.3">
      <c r="A39" s="65" t="s">
        <v>65</v>
      </c>
      <c r="B39" s="66">
        <v>130</v>
      </c>
      <c r="C39" s="66">
        <v>8</v>
      </c>
      <c r="D39" s="67" t="s">
        <v>56</v>
      </c>
      <c r="E39" s="67">
        <v>2</v>
      </c>
      <c r="F39" s="67">
        <v>5</v>
      </c>
      <c r="G39" s="67">
        <v>119.71</v>
      </c>
      <c r="H39" s="67">
        <v>14.96</v>
      </c>
      <c r="I39" s="67">
        <v>6.52</v>
      </c>
      <c r="J39" s="109">
        <v>1</v>
      </c>
      <c r="K39" s="68">
        <f t="shared" si="1"/>
        <v>2208854.16414</v>
      </c>
      <c r="L39" s="67" t="s">
        <v>54</v>
      </c>
      <c r="M39" s="68">
        <f t="shared" si="2"/>
        <v>2208854.16414</v>
      </c>
      <c r="N39" s="68">
        <f t="shared" si="3"/>
        <v>1908854.16414</v>
      </c>
      <c r="O39" s="68">
        <f t="shared" si="4"/>
        <v>2283955.2057207599</v>
      </c>
      <c r="P39" s="68">
        <f t="shared" si="5"/>
        <v>375101.04158075992</v>
      </c>
      <c r="Q39" s="68">
        <f t="shared" si="6"/>
        <v>1908854.16414</v>
      </c>
      <c r="R39" s="78" t="s">
        <v>52</v>
      </c>
      <c r="S39" s="110">
        <v>29</v>
      </c>
      <c r="T39" s="72">
        <f t="shared" si="7"/>
        <v>14.96</v>
      </c>
      <c r="U39" s="72">
        <f t="shared" si="8"/>
        <v>0</v>
      </c>
      <c r="V39" s="72">
        <f t="shared" si="9"/>
        <v>0</v>
      </c>
      <c r="W39" s="72">
        <f t="shared" si="10"/>
        <v>0</v>
      </c>
      <c r="X39" s="68">
        <f t="shared" si="11"/>
        <v>441770.83282800001</v>
      </c>
      <c r="Y39" s="74">
        <f t="shared" si="12"/>
        <v>300000</v>
      </c>
      <c r="Z39" s="62">
        <f t="array" ref="Z39">_xlfn.IFS(AND(F39=3,G39&gt;90),(90*1)+((G39-90)*0.15),AND(F39=3.5,G39&gt;100),(100*1)+((G39-100)*0.15),AND(F39=4,G39&gt;110),(110*1)+((G39-110)*0.15),AND(F39=4.5,G39&gt;120),(120*1)+((G39-120)*0.15),AND(F39=5,G39&gt;125),(125*1)+((G39-125)*0.15),AND(F39=5.5,G39&gt;135),(135*1)+((G39-135)*0.15),AND(F39=6,G39&gt;145),(145*1)+((G39-145)*0.15),TRUE(),G39)</f>
        <v>119.71</v>
      </c>
      <c r="AA39" s="63">
        <v>0</v>
      </c>
      <c r="AI39" s="64" t="e">
        <f>L39='[1]מחיר מטרה-שקבלתי מאסתר'!L39</f>
        <v>#REF!</v>
      </c>
    </row>
    <row r="40" spans="1:35" ht="14.25" customHeight="1" x14ac:dyDescent="0.3">
      <c r="A40" s="65" t="s">
        <v>65</v>
      </c>
      <c r="B40" s="66">
        <v>130</v>
      </c>
      <c r="C40" s="66">
        <v>9</v>
      </c>
      <c r="D40" s="79" t="s">
        <v>57</v>
      </c>
      <c r="E40" s="79">
        <v>3</v>
      </c>
      <c r="F40" s="67">
        <v>3</v>
      </c>
      <c r="G40" s="80">
        <v>81.180000000000007</v>
      </c>
      <c r="H40" s="67">
        <v>11.98</v>
      </c>
      <c r="I40" s="80">
        <v>5.69</v>
      </c>
      <c r="J40" s="109">
        <v>1</v>
      </c>
      <c r="K40" s="68">
        <f t="shared" si="1"/>
        <v>1527090.8444999999</v>
      </c>
      <c r="L40" s="79" t="s">
        <v>54</v>
      </c>
      <c r="M40" s="68">
        <f t="shared" si="2"/>
        <v>1527090.8444999999</v>
      </c>
      <c r="N40" s="68">
        <f t="shared" si="3"/>
        <v>1227090.8444999999</v>
      </c>
      <c r="O40" s="68">
        <f t="shared" si="4"/>
        <v>1579011.933213</v>
      </c>
      <c r="P40" s="68">
        <f t="shared" si="5"/>
        <v>351921.08871300006</v>
      </c>
      <c r="Q40" s="68">
        <f t="shared" si="6"/>
        <v>1227090.8444999999</v>
      </c>
      <c r="R40" s="78" t="s">
        <v>55</v>
      </c>
      <c r="S40" s="110">
        <v>12</v>
      </c>
      <c r="T40" s="72">
        <f t="shared" si="7"/>
        <v>11.98</v>
      </c>
      <c r="U40" s="72">
        <f t="shared" si="8"/>
        <v>0</v>
      </c>
      <c r="V40" s="72">
        <f t="shared" si="9"/>
        <v>0</v>
      </c>
      <c r="W40" s="72">
        <f t="shared" si="10"/>
        <v>0</v>
      </c>
      <c r="X40" s="68">
        <f t="shared" si="11"/>
        <v>305418.16889999999</v>
      </c>
      <c r="Y40" s="74">
        <f t="shared" si="12"/>
        <v>300000</v>
      </c>
      <c r="Z40" s="62">
        <f t="array" ref="Z40">_xlfn.IFS(AND(F40=3,G40&gt;90),(90*1)+((G40-90)*0.15),AND(F40=3.5,G40&gt;100),(100*1)+((G40-100)*0.15),AND(F40=4,G40&gt;110),(110*1)+((G40-110)*0.15),AND(F40=4.5,G40&gt;120),(120*1)+((G40-120)*0.15),AND(F40=5,G40&gt;125),(125*1)+((G40-125)*0.15),AND(F40=5.5,G40&gt;135),(135*1)+((G40-135)*0.15),AND(F40=6,G40&gt;145),(145*1)+((G40-145)*0.15),TRUE(),G40)</f>
        <v>81.180000000000007</v>
      </c>
      <c r="AA40" s="63">
        <v>0</v>
      </c>
      <c r="AI40" s="64" t="e">
        <f>L40='[1]מחיר מטרה-שקבלתי מאסתר'!L40</f>
        <v>#REF!</v>
      </c>
    </row>
    <row r="41" spans="1:35" ht="14.25" customHeight="1" x14ac:dyDescent="0.3">
      <c r="A41" s="65" t="s">
        <v>65</v>
      </c>
      <c r="B41" s="66">
        <v>130</v>
      </c>
      <c r="C41" s="66">
        <v>10</v>
      </c>
      <c r="D41" s="79" t="s">
        <v>53</v>
      </c>
      <c r="E41" s="79">
        <v>3</v>
      </c>
      <c r="F41" s="67">
        <v>4</v>
      </c>
      <c r="G41" s="80">
        <v>103.41</v>
      </c>
      <c r="H41" s="67">
        <v>14.98</v>
      </c>
      <c r="I41" s="80">
        <v>7.09</v>
      </c>
      <c r="J41" s="109">
        <v>2</v>
      </c>
      <c r="K41" s="68">
        <f t="shared" si="1"/>
        <v>1967640.6905999999</v>
      </c>
      <c r="L41" s="79" t="s">
        <v>54</v>
      </c>
      <c r="M41" s="68">
        <f t="shared" si="2"/>
        <v>1967640.6905999999</v>
      </c>
      <c r="N41" s="68">
        <f t="shared" si="3"/>
        <v>1667640.6905999999</v>
      </c>
      <c r="O41" s="68">
        <f t="shared" si="4"/>
        <v>2034540.4740803998</v>
      </c>
      <c r="P41" s="68">
        <f t="shared" si="5"/>
        <v>366899.78348039999</v>
      </c>
      <c r="Q41" s="68">
        <f t="shared" si="6"/>
        <v>1667640.6905999999</v>
      </c>
      <c r="R41" s="78" t="s">
        <v>52</v>
      </c>
      <c r="S41" s="110">
        <v>30</v>
      </c>
      <c r="T41" s="72">
        <f t="shared" si="7"/>
        <v>14.98</v>
      </c>
      <c r="U41" s="72">
        <f t="shared" si="8"/>
        <v>0</v>
      </c>
      <c r="V41" s="72">
        <f t="shared" si="9"/>
        <v>0</v>
      </c>
      <c r="W41" s="72">
        <f t="shared" si="10"/>
        <v>0</v>
      </c>
      <c r="X41" s="68">
        <f t="shared" si="11"/>
        <v>393528.13812000002</v>
      </c>
      <c r="Y41" s="74">
        <f t="shared" si="12"/>
        <v>300000</v>
      </c>
      <c r="Z41" s="62">
        <f t="array" ref="Z41">_xlfn.IFS(AND(F41=3,G41&gt;90),(90*1)+((G41-90)*0.15),AND(F41=3.5,G41&gt;100),(100*1)+((G41-100)*0.15),AND(F41=4,G41&gt;110),(110*1)+((G41-110)*0.15),AND(F41=4.5,G41&gt;120),(120*1)+((G41-120)*0.15),AND(F41=5,G41&gt;125),(125*1)+((G41-125)*0.15),AND(F41=5.5,G41&gt;135),(135*1)+((G41-135)*0.15),AND(F41=6,G41&gt;145),(145*1)+((G41-145)*0.15),TRUE(),G41)</f>
        <v>103.41</v>
      </c>
      <c r="AA41" s="63">
        <v>0</v>
      </c>
      <c r="AI41" s="64" t="e">
        <f>L41='[1]מחיר מטרה-שקבלתי מאסתר'!L41</f>
        <v>#REF!</v>
      </c>
    </row>
    <row r="42" spans="1:35" ht="14.25" customHeight="1" x14ac:dyDescent="0.3">
      <c r="A42" s="65" t="s">
        <v>65</v>
      </c>
      <c r="B42" s="66">
        <v>130</v>
      </c>
      <c r="C42" s="66">
        <v>11</v>
      </c>
      <c r="D42" s="67" t="s">
        <v>56</v>
      </c>
      <c r="E42" s="67">
        <v>3</v>
      </c>
      <c r="F42" s="67">
        <v>5</v>
      </c>
      <c r="G42" s="67">
        <v>119.71</v>
      </c>
      <c r="H42" s="67">
        <v>14.96</v>
      </c>
      <c r="I42" s="67">
        <v>7.84</v>
      </c>
      <c r="J42" s="109">
        <v>1</v>
      </c>
      <c r="K42" s="68">
        <f t="shared" si="1"/>
        <v>2217908.67246</v>
      </c>
      <c r="L42" s="67" t="s">
        <v>54</v>
      </c>
      <c r="M42" s="68">
        <f t="shared" si="2"/>
        <v>2217908.67246</v>
      </c>
      <c r="N42" s="68">
        <f t="shared" si="3"/>
        <v>1917908.67246</v>
      </c>
      <c r="O42" s="68">
        <f t="shared" si="4"/>
        <v>2293317.56732364</v>
      </c>
      <c r="P42" s="68">
        <f t="shared" si="5"/>
        <v>375408.89486363996</v>
      </c>
      <c r="Q42" s="68">
        <f t="shared" si="6"/>
        <v>1917908.67246</v>
      </c>
      <c r="R42" s="78" t="s">
        <v>52</v>
      </c>
      <c r="S42" s="110">
        <v>26</v>
      </c>
      <c r="T42" s="72">
        <f t="shared" si="7"/>
        <v>14.96</v>
      </c>
      <c r="U42" s="72">
        <f t="shared" si="8"/>
        <v>0</v>
      </c>
      <c r="V42" s="72">
        <f t="shared" si="9"/>
        <v>0</v>
      </c>
      <c r="W42" s="72">
        <f t="shared" si="10"/>
        <v>0</v>
      </c>
      <c r="X42" s="68">
        <f t="shared" si="11"/>
        <v>443581.73449200002</v>
      </c>
      <c r="Y42" s="74">
        <f t="shared" si="12"/>
        <v>300000</v>
      </c>
      <c r="Z42" s="62">
        <f t="array" ref="Z42">_xlfn.IFS(AND(F42=3,G42&gt;90),(90*1)+((G42-90)*0.15),AND(F42=3.5,G42&gt;100),(100*1)+((G42-100)*0.15),AND(F42=4,G42&gt;110),(110*1)+((G42-110)*0.15),AND(F42=4.5,G42&gt;120),(120*1)+((G42-120)*0.15),AND(F42=5,G42&gt;125),(125*1)+((G42-125)*0.15),AND(F42=5.5,G42&gt;135),(135*1)+((G42-135)*0.15),AND(F42=6,G42&gt;145),(145*1)+((G42-145)*0.15),TRUE(),G42)</f>
        <v>119.71</v>
      </c>
      <c r="AA42" s="63">
        <v>0</v>
      </c>
      <c r="AI42" s="64" t="e">
        <f>L42='[1]מחיר מטרה-שקבלתי מאסתר'!L42</f>
        <v>#REF!</v>
      </c>
    </row>
    <row r="43" spans="1:35" ht="14.25" customHeight="1" x14ac:dyDescent="0.3">
      <c r="A43" s="65" t="s">
        <v>65</v>
      </c>
      <c r="B43" s="66">
        <v>130</v>
      </c>
      <c r="C43" s="66">
        <v>12</v>
      </c>
      <c r="D43" s="79" t="s">
        <v>57</v>
      </c>
      <c r="E43" s="79">
        <v>4</v>
      </c>
      <c r="F43" s="67">
        <v>3</v>
      </c>
      <c r="G43" s="80">
        <v>81.180000000000007</v>
      </c>
      <c r="H43" s="67">
        <v>11.98</v>
      </c>
      <c r="I43" s="80">
        <v>6.52</v>
      </c>
      <c r="J43" s="109">
        <v>1</v>
      </c>
      <c r="K43" s="68">
        <f t="shared" si="1"/>
        <v>1532784.20958</v>
      </c>
      <c r="L43" s="79" t="s">
        <v>54</v>
      </c>
      <c r="M43" s="68">
        <f t="shared" si="2"/>
        <v>1532784.20958</v>
      </c>
      <c r="N43" s="68">
        <f t="shared" si="3"/>
        <v>1232784.20958</v>
      </c>
      <c r="O43" s="68">
        <f t="shared" si="4"/>
        <v>1584898.8727057201</v>
      </c>
      <c r="P43" s="68">
        <f t="shared" si="5"/>
        <v>352114.66312572011</v>
      </c>
      <c r="Q43" s="68">
        <f t="shared" si="6"/>
        <v>1232784.20958</v>
      </c>
      <c r="R43" s="78" t="s">
        <v>55</v>
      </c>
      <c r="S43" s="110">
        <v>14</v>
      </c>
      <c r="T43" s="72">
        <f t="shared" si="7"/>
        <v>11.98</v>
      </c>
      <c r="U43" s="72">
        <f t="shared" si="8"/>
        <v>0</v>
      </c>
      <c r="V43" s="72">
        <f t="shared" si="9"/>
        <v>0</v>
      </c>
      <c r="W43" s="72">
        <f t="shared" si="10"/>
        <v>0</v>
      </c>
      <c r="X43" s="68">
        <f t="shared" si="11"/>
        <v>306556.841916</v>
      </c>
      <c r="Y43" s="74">
        <f t="shared" si="12"/>
        <v>300000</v>
      </c>
      <c r="Z43" s="62">
        <f t="array" ref="Z43">_xlfn.IFS(AND(F43=3,G43&gt;90),(90*1)+((G43-90)*0.15),AND(F43=3.5,G43&gt;100),(100*1)+((G43-100)*0.15),AND(F43=4,G43&gt;110),(110*1)+((G43-110)*0.15),AND(F43=4.5,G43&gt;120),(120*1)+((G43-120)*0.15),AND(F43=5,G43&gt;125),(125*1)+((G43-125)*0.15),AND(F43=5.5,G43&gt;135),(135*1)+((G43-135)*0.15),AND(F43=6,G43&gt;145),(145*1)+((G43-145)*0.15),TRUE(),G43)</f>
        <v>81.180000000000007</v>
      </c>
      <c r="AA43" s="63">
        <v>0</v>
      </c>
      <c r="AI43" s="64" t="e">
        <f>L43='[1]מחיר מטרה-שקבלתי מאסתר'!L43</f>
        <v>#REF!</v>
      </c>
    </row>
    <row r="44" spans="1:35" ht="14.25" customHeight="1" x14ac:dyDescent="0.3">
      <c r="A44" s="65" t="s">
        <v>65</v>
      </c>
      <c r="B44" s="66">
        <v>130</v>
      </c>
      <c r="C44" s="66">
        <v>13</v>
      </c>
      <c r="D44" s="79" t="s">
        <v>53</v>
      </c>
      <c r="E44" s="79">
        <v>4</v>
      </c>
      <c r="F44" s="67">
        <v>4</v>
      </c>
      <c r="G44" s="80">
        <v>103.41</v>
      </c>
      <c r="H44" s="67">
        <v>14.98</v>
      </c>
      <c r="I44" s="80">
        <v>7.95</v>
      </c>
      <c r="J44" s="109">
        <v>2</v>
      </c>
      <c r="K44" s="68">
        <f t="shared" ref="K44:K75" si="13">(SUMPRODUCT(H44:J44,$H$10:$J$10)+$G$10*Z44+SUMPRODUCT(T44:W44,$T$10:$W$10))*$K$8</f>
        <v>1973539.83996</v>
      </c>
      <c r="L44" s="79" t="s">
        <v>54</v>
      </c>
      <c r="M44" s="68">
        <f t="shared" si="2"/>
        <v>1973539.83996</v>
      </c>
      <c r="N44" s="68">
        <f t="shared" ref="N44:N75" si="14">M44-Y44</f>
        <v>1673539.83996</v>
      </c>
      <c r="O44" s="68">
        <f t="shared" ref="O44:O75" si="15">M44*(1+$K$9)</f>
        <v>2040640.1945186402</v>
      </c>
      <c r="P44" s="68">
        <f t="shared" ref="P44:P75" si="16">O44-N44</f>
        <v>367100.35455864016</v>
      </c>
      <c r="Q44" s="68">
        <f t="shared" ref="Q44:Q75" si="17">IF(P44&lt;500000,N44,P44-500000+N44)</f>
        <v>1673539.83996</v>
      </c>
      <c r="R44" s="78" t="s">
        <v>55</v>
      </c>
      <c r="S44" s="110">
        <v>16</v>
      </c>
      <c r="T44" s="72">
        <f t="shared" ref="T44:T75" si="18">IF((H44)&gt;30,30,(H44))</f>
        <v>14.98</v>
      </c>
      <c r="U44" s="72">
        <f t="shared" ref="U44:U75" si="19">IF((H44-T44)&gt;30,30,(H44-T44))</f>
        <v>0</v>
      </c>
      <c r="V44" s="72">
        <f t="shared" ref="V44:V75" si="20">IF((H44)&gt;120,60,(H44-T44-U44))</f>
        <v>0</v>
      </c>
      <c r="W44" s="72">
        <f t="shared" ref="W44:W75" si="21">IF((H44)&gt;120,(H44-120),0)</f>
        <v>0</v>
      </c>
      <c r="X44" s="68">
        <f t="shared" ref="X44:X75" si="22">K44*0.2</f>
        <v>394707.96799200005</v>
      </c>
      <c r="Y44" s="74">
        <f t="shared" ref="Y44:Y75" si="23">IF(X44&gt;300000,300000,X44)</f>
        <v>300000</v>
      </c>
      <c r="Z44" s="62">
        <f t="array" ref="Z44">_xlfn.IFS(AND(F44=3,G44&gt;90),(90*1)+((G44-90)*0.15),AND(F44=3.5,G44&gt;100),(100*1)+((G44-100)*0.15),AND(F44=4,G44&gt;110),(110*1)+((G44-110)*0.15),AND(F44=4.5,G44&gt;120),(120*1)+((G44-120)*0.15),AND(F44=5,G44&gt;125),(125*1)+((G44-125)*0.15),AND(F44=5.5,G44&gt;135),(135*1)+((G44-135)*0.15),AND(F44=6,G44&gt;145),(145*1)+((G44-145)*0.15),TRUE(),G44)</f>
        <v>103.41</v>
      </c>
      <c r="AA44" s="63">
        <v>0</v>
      </c>
      <c r="AI44" s="64" t="e">
        <f>L44='[1]מחיר מטרה-שקבלתי מאסתר'!L44</f>
        <v>#REF!</v>
      </c>
    </row>
    <row r="45" spans="1:35" ht="14.25" customHeight="1" x14ac:dyDescent="0.3">
      <c r="A45" s="65" t="s">
        <v>65</v>
      </c>
      <c r="B45" s="66">
        <v>130</v>
      </c>
      <c r="C45" s="66">
        <v>14</v>
      </c>
      <c r="D45" s="67" t="s">
        <v>56</v>
      </c>
      <c r="E45" s="67">
        <v>4</v>
      </c>
      <c r="F45" s="67">
        <v>5</v>
      </c>
      <c r="G45" s="67">
        <v>119.71</v>
      </c>
      <c r="H45" s="67">
        <v>14.96</v>
      </c>
      <c r="I45" s="67">
        <v>7.2</v>
      </c>
      <c r="J45" s="109">
        <v>1</v>
      </c>
      <c r="K45" s="68">
        <f t="shared" si="13"/>
        <v>2213518.60782</v>
      </c>
      <c r="L45" s="67" t="s">
        <v>54</v>
      </c>
      <c r="M45" s="68">
        <f t="shared" si="2"/>
        <v>2213518.60782</v>
      </c>
      <c r="N45" s="68">
        <f t="shared" si="14"/>
        <v>1913518.60782</v>
      </c>
      <c r="O45" s="68">
        <f t="shared" si="15"/>
        <v>2288778.2404858801</v>
      </c>
      <c r="P45" s="68">
        <f t="shared" si="16"/>
        <v>375259.63266588002</v>
      </c>
      <c r="Q45" s="68">
        <f t="shared" si="17"/>
        <v>1913518.60782</v>
      </c>
      <c r="R45" s="78" t="s">
        <v>52</v>
      </c>
      <c r="S45" s="110">
        <v>31</v>
      </c>
      <c r="T45" s="72">
        <f t="shared" si="18"/>
        <v>14.96</v>
      </c>
      <c r="U45" s="72">
        <f t="shared" si="19"/>
        <v>0</v>
      </c>
      <c r="V45" s="72">
        <f t="shared" si="20"/>
        <v>0</v>
      </c>
      <c r="W45" s="72">
        <f t="shared" si="21"/>
        <v>0</v>
      </c>
      <c r="X45" s="68">
        <f t="shared" si="22"/>
        <v>442703.72156400001</v>
      </c>
      <c r="Y45" s="74">
        <f t="shared" si="23"/>
        <v>300000</v>
      </c>
      <c r="Z45" s="62">
        <f t="array" ref="Z45">_xlfn.IFS(AND(F45=3,G45&gt;90),(90*1)+((G45-90)*0.15),AND(F45=3.5,G45&gt;100),(100*1)+((G45-100)*0.15),AND(F45=4,G45&gt;110),(110*1)+((G45-110)*0.15),AND(F45=4.5,G45&gt;120),(120*1)+((G45-120)*0.15),AND(F45=5,G45&gt;125),(125*1)+((G45-125)*0.15),AND(F45=5.5,G45&gt;135),(135*1)+((G45-135)*0.15),AND(F45=6,G45&gt;145),(145*1)+((G45-145)*0.15),TRUE(),G45)</f>
        <v>119.71</v>
      </c>
      <c r="AA45" s="63">
        <v>0</v>
      </c>
      <c r="AI45" s="64" t="e">
        <f>L45='[1]מחיר מטרה-שקבלתי מאסתר'!L45</f>
        <v>#REF!</v>
      </c>
    </row>
    <row r="46" spans="1:35" ht="14.25" customHeight="1" x14ac:dyDescent="0.3">
      <c r="A46" s="65" t="s">
        <v>65</v>
      </c>
      <c r="B46" s="66">
        <v>130</v>
      </c>
      <c r="C46" s="66">
        <v>15</v>
      </c>
      <c r="D46" s="79" t="s">
        <v>59</v>
      </c>
      <c r="E46" s="79">
        <v>5</v>
      </c>
      <c r="F46" s="67">
        <v>3</v>
      </c>
      <c r="G46" s="80">
        <v>81.180000000000007</v>
      </c>
      <c r="H46" s="67">
        <v>11.98</v>
      </c>
      <c r="I46" s="80">
        <v>5.87</v>
      </c>
      <c r="J46" s="109">
        <v>1</v>
      </c>
      <c r="K46" s="68">
        <f t="shared" si="13"/>
        <v>1528325.5501799998</v>
      </c>
      <c r="L46" s="79" t="s">
        <v>54</v>
      </c>
      <c r="M46" s="68">
        <f t="shared" si="2"/>
        <v>1528325.5501799998</v>
      </c>
      <c r="N46" s="68">
        <f t="shared" si="14"/>
        <v>1228325.5501799998</v>
      </c>
      <c r="O46" s="68">
        <f t="shared" si="15"/>
        <v>1580288.6188861199</v>
      </c>
      <c r="P46" s="68">
        <f t="shared" si="16"/>
        <v>351963.06870612013</v>
      </c>
      <c r="Q46" s="68">
        <f t="shared" si="17"/>
        <v>1228325.5501799998</v>
      </c>
      <c r="R46" s="112" t="s">
        <v>55</v>
      </c>
      <c r="S46" s="113">
        <v>7</v>
      </c>
      <c r="T46" s="72">
        <f t="shared" si="18"/>
        <v>11.98</v>
      </c>
      <c r="U46" s="72">
        <f t="shared" si="19"/>
        <v>0</v>
      </c>
      <c r="V46" s="72">
        <f t="shared" si="20"/>
        <v>0</v>
      </c>
      <c r="W46" s="72">
        <f t="shared" si="21"/>
        <v>0</v>
      </c>
      <c r="X46" s="68">
        <f t="shared" si="22"/>
        <v>305665.11003599997</v>
      </c>
      <c r="Y46" s="74">
        <f t="shared" si="23"/>
        <v>300000</v>
      </c>
      <c r="Z46" s="62">
        <f t="array" ref="Z46">_xlfn.IFS(AND(F46=3,G46&gt;90),(90*1)+((G46-90)*0.15),AND(F46=3.5,G46&gt;100),(100*1)+((G46-100)*0.15),AND(F46=4,G46&gt;110),(110*1)+((G46-110)*0.15),AND(F46=4.5,G46&gt;120),(120*1)+((G46-120)*0.15),AND(F46=5,G46&gt;125),(125*1)+((G46-125)*0.15),AND(F46=5.5,G46&gt;135),(135*1)+((G46-135)*0.15),AND(F46=6,G46&gt;145),(145*1)+((G46-145)*0.15),TRUE(),G46)</f>
        <v>81.180000000000007</v>
      </c>
      <c r="AA46" s="63">
        <v>0</v>
      </c>
      <c r="AI46" s="64" t="e">
        <f>L46='[1]מחיר מטרה-שקבלתי מאסתר'!L46</f>
        <v>#REF!</v>
      </c>
    </row>
    <row r="47" spans="1:35" ht="14.25" customHeight="1" x14ac:dyDescent="0.3">
      <c r="A47" s="65" t="s">
        <v>65</v>
      </c>
      <c r="B47" s="66">
        <v>130</v>
      </c>
      <c r="C47" s="66">
        <v>16</v>
      </c>
      <c r="D47" s="79" t="s">
        <v>60</v>
      </c>
      <c r="E47" s="79">
        <v>5</v>
      </c>
      <c r="F47" s="67">
        <v>4</v>
      </c>
      <c r="G47" s="80">
        <v>103.41</v>
      </c>
      <c r="H47" s="67">
        <v>14.98</v>
      </c>
      <c r="I47" s="80">
        <v>7.95</v>
      </c>
      <c r="J47" s="109">
        <v>2</v>
      </c>
      <c r="K47" s="68">
        <f t="shared" si="13"/>
        <v>1973539.83996</v>
      </c>
      <c r="L47" s="79" t="s">
        <v>54</v>
      </c>
      <c r="M47" s="68">
        <f t="shared" si="2"/>
        <v>1973539.83996</v>
      </c>
      <c r="N47" s="68">
        <f t="shared" si="14"/>
        <v>1673539.83996</v>
      </c>
      <c r="O47" s="68">
        <f t="shared" si="15"/>
        <v>2040640.1945186402</v>
      </c>
      <c r="P47" s="68">
        <f t="shared" si="16"/>
        <v>367100.35455864016</v>
      </c>
      <c r="Q47" s="68">
        <f t="shared" si="17"/>
        <v>1673539.83996</v>
      </c>
      <c r="R47" s="112" t="s">
        <v>52</v>
      </c>
      <c r="S47" s="113">
        <v>32</v>
      </c>
      <c r="T47" s="72">
        <f t="shared" si="18"/>
        <v>14.98</v>
      </c>
      <c r="U47" s="72">
        <f t="shared" si="19"/>
        <v>0</v>
      </c>
      <c r="V47" s="72">
        <f t="shared" si="20"/>
        <v>0</v>
      </c>
      <c r="W47" s="72">
        <f t="shared" si="21"/>
        <v>0</v>
      </c>
      <c r="X47" s="68">
        <f t="shared" si="22"/>
        <v>394707.96799200005</v>
      </c>
      <c r="Y47" s="74">
        <f t="shared" si="23"/>
        <v>300000</v>
      </c>
      <c r="Z47" s="62">
        <f t="array" ref="Z47">_xlfn.IFS(AND(F47=3,G47&gt;90),(90*1)+((G47-90)*0.15),AND(F47=3.5,G47&gt;100),(100*1)+((G47-100)*0.15),AND(F47=4,G47&gt;110),(110*1)+((G47-110)*0.15),AND(F47=4.5,G47&gt;120),(120*1)+((G47-120)*0.15),AND(F47=5,G47&gt;125),(125*1)+((G47-125)*0.15),AND(F47=5.5,G47&gt;135),(135*1)+((G47-135)*0.15),AND(F47=6,G47&gt;145),(145*1)+((G47-145)*0.15),TRUE(),G47)</f>
        <v>103.41</v>
      </c>
      <c r="AA47" s="63">
        <v>0</v>
      </c>
      <c r="AI47" s="64" t="e">
        <f>L47='[1]מחיר מטרה-שקבלתי מאסתר'!L47</f>
        <v>#REF!</v>
      </c>
    </row>
    <row r="48" spans="1:35" ht="14.25" customHeight="1" x14ac:dyDescent="0.3">
      <c r="A48" s="65" t="s">
        <v>65</v>
      </c>
      <c r="B48" s="66">
        <v>130</v>
      </c>
      <c r="C48" s="66">
        <v>17</v>
      </c>
      <c r="D48" s="79" t="s">
        <v>61</v>
      </c>
      <c r="E48" s="79">
        <v>5</v>
      </c>
      <c r="F48" s="67">
        <v>4</v>
      </c>
      <c r="G48" s="80">
        <v>104.09</v>
      </c>
      <c r="H48" s="67">
        <v>29.91</v>
      </c>
      <c r="I48" s="80">
        <v>5.87</v>
      </c>
      <c r="J48" s="109">
        <v>2</v>
      </c>
      <c r="K48" s="68">
        <f t="shared" si="13"/>
        <v>2047742.22159</v>
      </c>
      <c r="L48" s="77" t="s">
        <v>47</v>
      </c>
      <c r="M48" s="68">
        <f t="shared" si="2"/>
        <v>2047742.22159</v>
      </c>
      <c r="N48" s="68">
        <f t="shared" si="14"/>
        <v>1747742.22159</v>
      </c>
      <c r="O48" s="68">
        <f t="shared" si="15"/>
        <v>2117365.45712406</v>
      </c>
      <c r="P48" s="68">
        <f t="shared" si="16"/>
        <v>369623.23553406005</v>
      </c>
      <c r="Q48" s="68">
        <f t="shared" si="17"/>
        <v>1747742.22159</v>
      </c>
      <c r="R48" s="112" t="s">
        <v>52</v>
      </c>
      <c r="S48" s="113">
        <v>21</v>
      </c>
      <c r="T48" s="72">
        <f t="shared" si="18"/>
        <v>29.91</v>
      </c>
      <c r="U48" s="72">
        <f t="shared" si="19"/>
        <v>0</v>
      </c>
      <c r="V48" s="72">
        <f t="shared" si="20"/>
        <v>0</v>
      </c>
      <c r="W48" s="72">
        <f t="shared" si="21"/>
        <v>0</v>
      </c>
      <c r="X48" s="68">
        <f t="shared" si="22"/>
        <v>409548.44431799999</v>
      </c>
      <c r="Y48" s="74">
        <f t="shared" si="23"/>
        <v>300000</v>
      </c>
      <c r="Z48" s="62">
        <f t="array" ref="Z48">_xlfn.IFS(AND(F48=3,G48&gt;90),(90*1)+((G48-90)*0.15),AND(F48=3.5,G48&gt;100),(100*1)+((G48-100)*0.15),AND(F48=4,G48&gt;110),(110*1)+((G48-110)*0.15),AND(F48=4.5,G48&gt;120),(120*1)+((G48-120)*0.15),AND(F48=5,G48&gt;125),(125*1)+((G48-125)*0.15),AND(F48=5.5,G48&gt;135),(135*1)+((G48-135)*0.15),AND(F48=6,G48&gt;145),(145*1)+((G48-145)*0.15),TRUE(),G48)</f>
        <v>104.09</v>
      </c>
      <c r="AA48" s="63">
        <v>0</v>
      </c>
      <c r="AI48" s="64" t="e">
        <f>L48='[1]מחיר מטרה-שקבלתי מאסתר'!L48</f>
        <v>#REF!</v>
      </c>
    </row>
    <row r="49" spans="1:35" ht="14.25" customHeight="1" x14ac:dyDescent="0.3">
      <c r="A49" s="81" t="s">
        <v>65</v>
      </c>
      <c r="B49" s="82">
        <v>130</v>
      </c>
      <c r="C49" s="82">
        <v>18</v>
      </c>
      <c r="D49" s="83" t="s">
        <v>62</v>
      </c>
      <c r="E49" s="83">
        <v>6</v>
      </c>
      <c r="F49" s="83">
        <v>5</v>
      </c>
      <c r="G49" s="83">
        <v>126.62</v>
      </c>
      <c r="H49" s="83">
        <v>63.14</v>
      </c>
      <c r="I49" s="114">
        <v>11.05</v>
      </c>
      <c r="J49" s="115">
        <v>2</v>
      </c>
      <c r="K49" s="84">
        <f t="shared" si="13"/>
        <v>2554760.3901299997</v>
      </c>
      <c r="L49" s="69" t="s">
        <v>47</v>
      </c>
      <c r="M49" s="84">
        <f t="shared" si="2"/>
        <v>2554760.3901299997</v>
      </c>
      <c r="N49" s="84">
        <f t="shared" si="14"/>
        <v>2254760.3901299997</v>
      </c>
      <c r="O49" s="84">
        <f t="shared" si="15"/>
        <v>2641622.24339442</v>
      </c>
      <c r="P49" s="84">
        <f t="shared" si="16"/>
        <v>386861.85326442029</v>
      </c>
      <c r="Q49" s="84">
        <f t="shared" si="17"/>
        <v>2254760.3901299997</v>
      </c>
      <c r="R49" s="116" t="s">
        <v>52</v>
      </c>
      <c r="S49" s="117">
        <v>24</v>
      </c>
      <c r="T49" s="87">
        <f t="shared" si="18"/>
        <v>30</v>
      </c>
      <c r="U49" s="87">
        <f t="shared" si="19"/>
        <v>30</v>
      </c>
      <c r="V49" s="87">
        <f t="shared" si="20"/>
        <v>3.1400000000000006</v>
      </c>
      <c r="W49" s="87">
        <f t="shared" si="21"/>
        <v>0</v>
      </c>
      <c r="X49" s="84">
        <f t="shared" si="22"/>
        <v>510952.07802599994</v>
      </c>
      <c r="Y49" s="88">
        <f t="shared" si="23"/>
        <v>300000</v>
      </c>
      <c r="Z49" s="89">
        <f t="array" ref="Z49">_xlfn.IFS(AND(F49=3,G49&gt;90),(90*1)+((G49-90)*0.15),AND(F49=3.5,G49&gt;100),(100*1)+((G49-100)*0.15),AND(F49=4,G49&gt;110),(110*1)+((G49-110)*0.15),AND(F49=4.5,G49&gt;120),(120*1)+((G49-120)*0.15),AND(F49=5,G49&gt;125),(125*1)+((G49-125)*0.15),AND(F49=5.5,G49&gt;135),(135*1)+((G49-135)*0.15),AND(F49=6,G49&gt;145),(145*1)+((G49-145)*0.15),TRUE(),G49)</f>
        <v>125.24299999999999</v>
      </c>
      <c r="AA49" s="63">
        <v>0</v>
      </c>
      <c r="AI49" s="64" t="e">
        <f>L49='[1]מחיר מטרה-שקבלתי מאסתר'!L49</f>
        <v>#REF!</v>
      </c>
    </row>
    <row r="50" spans="1:35" ht="14.25" customHeight="1" x14ac:dyDescent="0.3">
      <c r="A50" s="65" t="s">
        <v>65</v>
      </c>
      <c r="B50" s="66">
        <v>130</v>
      </c>
      <c r="C50" s="66">
        <v>19</v>
      </c>
      <c r="D50" s="79" t="s">
        <v>63</v>
      </c>
      <c r="E50" s="79">
        <v>6</v>
      </c>
      <c r="F50" s="67">
        <v>4</v>
      </c>
      <c r="G50" s="80">
        <v>104.09</v>
      </c>
      <c r="H50" s="67">
        <v>14.96</v>
      </c>
      <c r="I50" s="80">
        <v>7.84</v>
      </c>
      <c r="J50" s="109">
        <v>2</v>
      </c>
      <c r="K50" s="68">
        <f t="shared" si="13"/>
        <v>1984343.5146599999</v>
      </c>
      <c r="L50" s="79" t="s">
        <v>54</v>
      </c>
      <c r="M50" s="68">
        <f t="shared" si="2"/>
        <v>1984343.5146599999</v>
      </c>
      <c r="N50" s="68">
        <f t="shared" si="14"/>
        <v>1684343.5146599999</v>
      </c>
      <c r="O50" s="68">
        <f t="shared" si="15"/>
        <v>2051811.19415844</v>
      </c>
      <c r="P50" s="68">
        <f t="shared" si="16"/>
        <v>367467.67949844012</v>
      </c>
      <c r="Q50" s="68">
        <f t="shared" si="17"/>
        <v>1684343.5146599999</v>
      </c>
      <c r="R50" s="112" t="s">
        <v>52</v>
      </c>
      <c r="S50" s="113">
        <v>25</v>
      </c>
      <c r="T50" s="72">
        <f t="shared" si="18"/>
        <v>14.96</v>
      </c>
      <c r="U50" s="72">
        <f t="shared" si="19"/>
        <v>0</v>
      </c>
      <c r="V50" s="72">
        <f t="shared" si="20"/>
        <v>0</v>
      </c>
      <c r="W50" s="72">
        <f t="shared" si="21"/>
        <v>0</v>
      </c>
      <c r="X50" s="68">
        <f t="shared" si="22"/>
        <v>396868.70293199999</v>
      </c>
      <c r="Y50" s="74">
        <f t="shared" si="23"/>
        <v>300000</v>
      </c>
      <c r="Z50" s="62">
        <f t="array" ref="Z50">_xlfn.IFS(AND(F50=3,G50&gt;90),(90*1)+((G50-90)*0.15),AND(F50=3.5,G50&gt;100),(100*1)+((G50-100)*0.15),AND(F50=4,G50&gt;110),(110*1)+((G50-110)*0.15),AND(F50=4.5,G50&gt;120),(120*1)+((G50-120)*0.15),AND(F50=5,G50&gt;125),(125*1)+((G50-125)*0.15),AND(F50=5.5,G50&gt;135),(135*1)+((G50-135)*0.15),AND(F50=6,G50&gt;145),(145*1)+((G50-145)*0.15),TRUE(),G50)</f>
        <v>104.09</v>
      </c>
      <c r="AA50" s="63">
        <v>0</v>
      </c>
      <c r="AI50" s="64" t="e">
        <f>L50='[1]מחיר מטרה-שקבלתי מאסתר'!L50</f>
        <v>#REF!</v>
      </c>
    </row>
    <row r="51" spans="1:35" ht="14.25" customHeight="1" x14ac:dyDescent="0.3">
      <c r="A51" s="81" t="s">
        <v>65</v>
      </c>
      <c r="B51" s="82">
        <v>130</v>
      </c>
      <c r="C51" s="82">
        <v>20</v>
      </c>
      <c r="D51" s="83" t="s">
        <v>64</v>
      </c>
      <c r="E51" s="83">
        <v>7</v>
      </c>
      <c r="F51" s="83">
        <v>6</v>
      </c>
      <c r="G51" s="114">
        <v>171.15</v>
      </c>
      <c r="H51" s="83">
        <v>87.28</v>
      </c>
      <c r="I51" s="83">
        <v>11.05</v>
      </c>
      <c r="J51" s="115">
        <v>2</v>
      </c>
      <c r="K51" s="84">
        <f t="shared" si="13"/>
        <v>3002229.7326450003</v>
      </c>
      <c r="L51" s="69" t="s">
        <v>47</v>
      </c>
      <c r="M51" s="84">
        <f t="shared" si="2"/>
        <v>3002229.7326450003</v>
      </c>
      <c r="N51" s="84">
        <f t="shared" si="14"/>
        <v>2702229.7326450003</v>
      </c>
      <c r="O51" s="84">
        <f t="shared" si="15"/>
        <v>3104305.5435549305</v>
      </c>
      <c r="P51" s="84">
        <f t="shared" si="16"/>
        <v>402075.81090993015</v>
      </c>
      <c r="Q51" s="84">
        <f t="shared" si="17"/>
        <v>2702229.7326450003</v>
      </c>
      <c r="R51" s="116" t="s">
        <v>58</v>
      </c>
      <c r="S51" s="117">
        <v>37</v>
      </c>
      <c r="T51" s="87">
        <f t="shared" si="18"/>
        <v>30</v>
      </c>
      <c r="U51" s="87">
        <f t="shared" si="19"/>
        <v>30</v>
      </c>
      <c r="V51" s="87">
        <f t="shared" si="20"/>
        <v>27.28</v>
      </c>
      <c r="W51" s="87">
        <f t="shared" si="21"/>
        <v>0</v>
      </c>
      <c r="X51" s="84">
        <f t="shared" si="22"/>
        <v>600445.94652900007</v>
      </c>
      <c r="Y51" s="88">
        <f t="shared" si="23"/>
        <v>300000</v>
      </c>
      <c r="Z51" s="89">
        <f t="array" ref="Z51">_xlfn.IFS(AND(F51=3,G51&gt;90),(90*1)+((G51-90)*0.15),AND(F51=3.5,G51&gt;100),(100*1)+((G51-100)*0.15),AND(F51=4,G51&gt;110),(110*1)+((G51-110)*0.15),AND(F51=4.5,G51&gt;120),(120*1)+((G51-120)*0.15),AND(F51=5,G51&gt;125),(125*1)+((G51-125)*0.15),AND(F51=5.5,G51&gt;135),(135*1)+((G51-135)*0.15),AND(F51=6,G51&gt;145),(145*1)+((G51-145)*0.15),TRUE(),G51)</f>
        <v>148.92250000000001</v>
      </c>
      <c r="AA51" s="63">
        <v>0</v>
      </c>
      <c r="AI51" s="64" t="e">
        <f>L51='[1]מחיר מטרה-שקבלתי מאסתר'!L51</f>
        <v>#REF!</v>
      </c>
    </row>
    <row r="52" spans="1:35" ht="15" customHeight="1" x14ac:dyDescent="0.3">
      <c r="A52" s="118" t="s">
        <v>67</v>
      </c>
      <c r="B52" s="119">
        <v>130</v>
      </c>
      <c r="C52" s="119">
        <v>1</v>
      </c>
      <c r="D52" s="120" t="s">
        <v>68</v>
      </c>
      <c r="E52" s="120">
        <v>1</v>
      </c>
      <c r="F52" s="120">
        <v>5</v>
      </c>
      <c r="G52" s="120">
        <v>124.19</v>
      </c>
      <c r="H52" s="120">
        <v>15</v>
      </c>
      <c r="I52" s="120">
        <v>7.23</v>
      </c>
      <c r="J52" s="121">
        <v>2</v>
      </c>
      <c r="K52" s="68">
        <f t="shared" si="13"/>
        <v>2325053.6875799997</v>
      </c>
      <c r="L52" s="67" t="s">
        <v>54</v>
      </c>
      <c r="M52" s="122">
        <f t="shared" ref="M52:M83" si="24">K52*(1+AA52)</f>
        <v>2208801.0032009995</v>
      </c>
      <c r="N52" s="122">
        <f t="shared" si="14"/>
        <v>1908801.0032009995</v>
      </c>
      <c r="O52" s="122">
        <f t="shared" si="15"/>
        <v>2283900.2373098335</v>
      </c>
      <c r="P52" s="122">
        <f t="shared" si="16"/>
        <v>375099.23410883406</v>
      </c>
      <c r="Q52" s="122">
        <f t="shared" si="17"/>
        <v>1908801.0032009995</v>
      </c>
      <c r="R52" s="123" t="s">
        <v>69</v>
      </c>
      <c r="S52" s="124">
        <v>1</v>
      </c>
      <c r="T52" s="125">
        <f t="shared" si="18"/>
        <v>15</v>
      </c>
      <c r="U52" s="125">
        <f t="shared" si="19"/>
        <v>0</v>
      </c>
      <c r="V52" s="126">
        <f t="shared" si="20"/>
        <v>0</v>
      </c>
      <c r="W52" s="126">
        <f t="shared" si="21"/>
        <v>0</v>
      </c>
      <c r="X52" s="122">
        <f t="shared" si="22"/>
        <v>465010.73751599994</v>
      </c>
      <c r="Y52" s="127">
        <f t="shared" si="23"/>
        <v>300000</v>
      </c>
      <c r="Z52" s="62">
        <f t="array" ref="Z52">_xlfn.IFS(AND(F52=3,G52&gt;90),(90*1)+((G52-90)*0.15),AND(F52=3.5,G52&gt;100),(100*1)+((G52-100)*0.15),AND(F52=4,G52&gt;110),(110*1)+((G52-110)*0.15),AND(F52=4.5,G52&gt;120),(120*1)+((G52-120)*0.15),AND(F52=5,G52&gt;125),(125*1)+((G52-125)*0.15),AND(F52=5.5,G52&gt;135),(135*1)+((G52-135)*0.15),AND(F52=6,G52&gt;145),(145*1)+((G52-145)*0.15),TRUE(),G52)</f>
        <v>124.19</v>
      </c>
      <c r="AA52" s="63">
        <v>-0.05</v>
      </c>
      <c r="AI52" s="64" t="e">
        <f>L52='[1]מחיר מטרה-שקבלתי מאסתר'!L52</f>
        <v>#REF!</v>
      </c>
    </row>
    <row r="53" spans="1:35" ht="14.25" customHeight="1" x14ac:dyDescent="0.3">
      <c r="A53" s="98" t="s">
        <v>67</v>
      </c>
      <c r="B53" s="99">
        <v>130</v>
      </c>
      <c r="C53" s="99">
        <v>2</v>
      </c>
      <c r="D53" s="100" t="s">
        <v>70</v>
      </c>
      <c r="E53" s="100">
        <v>1</v>
      </c>
      <c r="F53" s="100">
        <v>4</v>
      </c>
      <c r="G53" s="128">
        <v>113.37</v>
      </c>
      <c r="H53" s="128">
        <v>19.38</v>
      </c>
      <c r="I53" s="128">
        <v>6.27</v>
      </c>
      <c r="J53" s="129">
        <v>1</v>
      </c>
      <c r="K53" s="43">
        <f t="shared" si="13"/>
        <v>2072033.3409749996</v>
      </c>
      <c r="L53" s="79" t="s">
        <v>54</v>
      </c>
      <c r="M53" s="43">
        <f t="shared" si="24"/>
        <v>1968431.6739262496</v>
      </c>
      <c r="N53" s="43">
        <f t="shared" si="14"/>
        <v>1668431.6739262496</v>
      </c>
      <c r="O53" s="43">
        <f t="shared" si="15"/>
        <v>2035358.3508397422</v>
      </c>
      <c r="P53" s="43">
        <f t="shared" si="16"/>
        <v>366926.67691349261</v>
      </c>
      <c r="Q53" s="43">
        <f t="shared" si="17"/>
        <v>1668431.6739262496</v>
      </c>
      <c r="R53" s="130" t="s">
        <v>69</v>
      </c>
      <c r="S53" s="131">
        <v>2</v>
      </c>
      <c r="T53" s="38">
        <f t="shared" si="18"/>
        <v>19.38</v>
      </c>
      <c r="U53" s="38">
        <f t="shared" si="19"/>
        <v>0</v>
      </c>
      <c r="V53" s="132">
        <f t="shared" si="20"/>
        <v>0</v>
      </c>
      <c r="W53" s="132">
        <f t="shared" si="21"/>
        <v>0</v>
      </c>
      <c r="X53" s="43">
        <f t="shared" si="22"/>
        <v>414406.66819499992</v>
      </c>
      <c r="Y53" s="43">
        <f t="shared" si="23"/>
        <v>300000</v>
      </c>
      <c r="Z53" s="62">
        <f t="array" ref="Z53">_xlfn.IFS(AND(F53=3,G53&gt;90),(90*1)+((G53-90)*0.15),AND(F53=3.5,G53&gt;100),(100*1)+((G53-100)*0.15),AND(F53=4,G53&gt;110),(110*1)+((G53-110)*0.15),AND(F53=4.5,G53&gt;120),(120*1)+((G53-120)*0.15),AND(F53=5,G53&gt;125),(125*1)+((G53-125)*0.15),AND(F53=5.5,G53&gt;135),(135*1)+((G53-135)*0.15),AND(F53=6,G53&gt;145),(145*1)+((G53-145)*0.15),TRUE(),G53)</f>
        <v>110.5055</v>
      </c>
      <c r="AA53" s="63">
        <v>-0.05</v>
      </c>
    </row>
    <row r="54" spans="1:35" ht="14.25" customHeight="1" x14ac:dyDescent="0.3">
      <c r="A54" s="52" t="s">
        <v>67</v>
      </c>
      <c r="B54" s="53">
        <v>130</v>
      </c>
      <c r="C54" s="53">
        <v>3</v>
      </c>
      <c r="D54" s="133" t="s">
        <v>71</v>
      </c>
      <c r="E54" s="133">
        <v>1</v>
      </c>
      <c r="F54" s="54">
        <v>4</v>
      </c>
      <c r="G54" s="133">
        <v>103.79</v>
      </c>
      <c r="H54" s="133">
        <v>14.98</v>
      </c>
      <c r="I54" s="133">
        <v>6.51</v>
      </c>
      <c r="J54" s="107">
        <v>1</v>
      </c>
      <c r="K54" s="68">
        <f t="shared" si="13"/>
        <v>1935881.31672</v>
      </c>
      <c r="L54" s="79" t="s">
        <v>54</v>
      </c>
      <c r="M54" s="56">
        <f t="shared" si="24"/>
        <v>1839087.250884</v>
      </c>
      <c r="N54" s="56">
        <f t="shared" si="14"/>
        <v>1539087.250884</v>
      </c>
      <c r="O54" s="56">
        <f t="shared" si="15"/>
        <v>1901616.217414056</v>
      </c>
      <c r="P54" s="56">
        <f t="shared" si="16"/>
        <v>362528.96653005597</v>
      </c>
      <c r="Q54" s="56">
        <f t="shared" si="17"/>
        <v>1539087.250884</v>
      </c>
      <c r="R54" s="134" t="s">
        <v>69</v>
      </c>
      <c r="S54" s="107">
        <v>3</v>
      </c>
      <c r="T54" s="55">
        <f t="shared" si="18"/>
        <v>14.98</v>
      </c>
      <c r="U54" s="55">
        <f t="shared" si="19"/>
        <v>0</v>
      </c>
      <c r="V54" s="60">
        <f t="shared" si="20"/>
        <v>0</v>
      </c>
      <c r="W54" s="60">
        <f t="shared" si="21"/>
        <v>0</v>
      </c>
      <c r="X54" s="56">
        <f t="shared" si="22"/>
        <v>387176.26334400004</v>
      </c>
      <c r="Y54" s="61">
        <f t="shared" si="23"/>
        <v>300000</v>
      </c>
      <c r="Z54" s="62">
        <f t="array" ref="Z54">_xlfn.IFS(AND(F54=3,G54&gt;90),(90*1)+((G54-90)*0.15),AND(F54=3.5,G54&gt;100),(100*1)+((G54-100)*0.15),AND(F54=4,G54&gt;110),(110*1)+((G54-110)*0.15),AND(F54=4.5,G54&gt;120),(120*1)+((G54-120)*0.15),AND(F54=5,G54&gt;125),(125*1)+((G54-125)*0.15),AND(F54=5.5,G54&gt;135),(135*1)+((G54-135)*0.15),AND(F54=6,G54&gt;145),(145*1)+((G54-145)*0.15),TRUE(),G54)</f>
        <v>103.79</v>
      </c>
      <c r="AA54" s="63">
        <v>-0.05</v>
      </c>
      <c r="AD54" s="135" t="s">
        <v>47</v>
      </c>
      <c r="AE54" s="64" t="b">
        <f t="shared" ref="AE54:AE85" si="25">AD54=L54</f>
        <v>0</v>
      </c>
      <c r="AI54" s="64" t="e">
        <f>L54='[1]מחיר מטרה-שקבלתי מאסתר'!L54</f>
        <v>#REF!</v>
      </c>
    </row>
    <row r="55" spans="1:35" ht="14.25" customHeight="1" x14ac:dyDescent="0.3">
      <c r="A55" s="65" t="s">
        <v>67</v>
      </c>
      <c r="B55" s="66">
        <v>130</v>
      </c>
      <c r="C55" s="66">
        <v>4</v>
      </c>
      <c r="D55" s="79" t="s">
        <v>72</v>
      </c>
      <c r="E55" s="79">
        <v>1</v>
      </c>
      <c r="F55" s="67">
        <v>3</v>
      </c>
      <c r="G55" s="79">
        <v>84.76</v>
      </c>
      <c r="H55" s="79">
        <v>12</v>
      </c>
      <c r="I55" s="79">
        <v>6.69</v>
      </c>
      <c r="J55" s="109">
        <v>1</v>
      </c>
      <c r="K55" s="68">
        <f t="shared" si="13"/>
        <v>1595445.52284</v>
      </c>
      <c r="L55" s="79" t="s">
        <v>54</v>
      </c>
      <c r="M55" s="68">
        <f t="shared" si="24"/>
        <v>1515673.246698</v>
      </c>
      <c r="N55" s="68">
        <f t="shared" si="14"/>
        <v>1215673.246698</v>
      </c>
      <c r="O55" s="68">
        <f t="shared" si="15"/>
        <v>1567206.1370857321</v>
      </c>
      <c r="P55" s="68">
        <f t="shared" si="16"/>
        <v>351532.89038773207</v>
      </c>
      <c r="Q55" s="68">
        <f t="shared" si="17"/>
        <v>1215673.246698</v>
      </c>
      <c r="R55" s="78" t="s">
        <v>69</v>
      </c>
      <c r="S55" s="109">
        <v>4</v>
      </c>
      <c r="T55" s="72">
        <f t="shared" si="18"/>
        <v>12</v>
      </c>
      <c r="U55" s="72">
        <f t="shared" si="19"/>
        <v>0</v>
      </c>
      <c r="V55" s="73">
        <f t="shared" si="20"/>
        <v>0</v>
      </c>
      <c r="W55" s="73">
        <f t="shared" si="21"/>
        <v>0</v>
      </c>
      <c r="X55" s="68">
        <f t="shared" si="22"/>
        <v>319089.10456800001</v>
      </c>
      <c r="Y55" s="74">
        <f t="shared" si="23"/>
        <v>300000</v>
      </c>
      <c r="Z55" s="62">
        <f t="array" ref="Z55">_xlfn.IFS(AND(F55=3,G55&gt;90),(90*1)+((G55-90)*0.15),AND(F55=3.5,G55&gt;100),(100*1)+((G55-100)*0.15),AND(F55=4,G55&gt;110),(110*1)+((G55-110)*0.15),AND(F55=4.5,G55&gt;120),(120*1)+((G55-120)*0.15),AND(F55=5,G55&gt;125),(125*1)+((G55-125)*0.15),AND(F55=5.5,G55&gt;135),(135*1)+((G55-135)*0.15),AND(F55=6,G55&gt;145),(145*1)+((G55-145)*0.15),TRUE(),G55)</f>
        <v>84.76</v>
      </c>
      <c r="AA55" s="63">
        <v>-0.05</v>
      </c>
      <c r="AD55" s="136" t="s">
        <v>47</v>
      </c>
      <c r="AE55" s="64" t="b">
        <f t="shared" si="25"/>
        <v>0</v>
      </c>
      <c r="AI55" s="64" t="e">
        <f>L55='[1]מחיר מטרה-שקבלתי מאסתר'!L55</f>
        <v>#REF!</v>
      </c>
    </row>
    <row r="56" spans="1:35" ht="14.25" customHeight="1" x14ac:dyDescent="0.3">
      <c r="A56" s="65" t="s">
        <v>67</v>
      </c>
      <c r="B56" s="66">
        <v>130</v>
      </c>
      <c r="C56" s="66">
        <v>5</v>
      </c>
      <c r="D56" s="79" t="s">
        <v>68</v>
      </c>
      <c r="E56" s="79">
        <v>2</v>
      </c>
      <c r="F56" s="79">
        <v>5</v>
      </c>
      <c r="G56" s="79">
        <v>124.19</v>
      </c>
      <c r="H56" s="79">
        <v>15</v>
      </c>
      <c r="I56" s="79">
        <v>7.23</v>
      </c>
      <c r="J56" s="109">
        <v>2</v>
      </c>
      <c r="K56" s="68">
        <f t="shared" si="13"/>
        <v>2325053.6875799997</v>
      </c>
      <c r="L56" s="67" t="s">
        <v>54</v>
      </c>
      <c r="M56" s="68">
        <f t="shared" si="24"/>
        <v>2208801.0032009995</v>
      </c>
      <c r="N56" s="68">
        <f t="shared" si="14"/>
        <v>1908801.0032009995</v>
      </c>
      <c r="O56" s="68">
        <f t="shared" si="15"/>
        <v>2283900.2373098335</v>
      </c>
      <c r="P56" s="68">
        <f t="shared" si="16"/>
        <v>375099.23410883406</v>
      </c>
      <c r="Q56" s="68">
        <f t="shared" si="17"/>
        <v>1908801.0032009995</v>
      </c>
      <c r="R56" s="137" t="s">
        <v>69</v>
      </c>
      <c r="S56" s="109">
        <v>5</v>
      </c>
      <c r="T56" s="72">
        <f t="shared" si="18"/>
        <v>15</v>
      </c>
      <c r="U56" s="72">
        <f t="shared" si="19"/>
        <v>0</v>
      </c>
      <c r="V56" s="73">
        <f t="shared" si="20"/>
        <v>0</v>
      </c>
      <c r="W56" s="73">
        <f t="shared" si="21"/>
        <v>0</v>
      </c>
      <c r="X56" s="68">
        <f t="shared" si="22"/>
        <v>465010.73751599994</v>
      </c>
      <c r="Y56" s="74">
        <f t="shared" si="23"/>
        <v>300000</v>
      </c>
      <c r="Z56" s="62">
        <f t="array" ref="Z56">_xlfn.IFS(AND(F56=3,G56&gt;90),(90*1)+((G56-90)*0.15),AND(F56=3.5,G56&gt;100),(100*1)+((G56-100)*0.15),AND(F56=4,G56&gt;110),(110*1)+((G56-110)*0.15),AND(F56=4.5,G56&gt;120),(120*1)+((G56-120)*0.15),AND(F56=5,G56&gt;125),(125*1)+((G56-125)*0.15),AND(F56=5.5,G56&gt;135),(135*1)+((G56-135)*0.15),AND(F56=6,G56&gt;145),(145*1)+((G56-145)*0.15),TRUE(),G56)</f>
        <v>124.19</v>
      </c>
      <c r="AA56" s="63">
        <v>-0.05</v>
      </c>
      <c r="AD56" s="138" t="s">
        <v>54</v>
      </c>
      <c r="AE56" s="64" t="b">
        <f t="shared" si="25"/>
        <v>1</v>
      </c>
      <c r="AI56" s="64" t="e">
        <f>L56='[1]מחיר מטרה-שקבלתי מאסתר'!L56</f>
        <v>#REF!</v>
      </c>
    </row>
    <row r="57" spans="1:35" ht="14.25" customHeight="1" x14ac:dyDescent="0.3">
      <c r="A57" s="65" t="s">
        <v>67</v>
      </c>
      <c r="B57" s="66">
        <v>130</v>
      </c>
      <c r="C57" s="66">
        <v>6</v>
      </c>
      <c r="D57" s="67" t="s">
        <v>73</v>
      </c>
      <c r="E57" s="67">
        <v>2</v>
      </c>
      <c r="F57" s="67">
        <v>4</v>
      </c>
      <c r="G57" s="67">
        <v>113.37</v>
      </c>
      <c r="H57" s="67">
        <v>14.77</v>
      </c>
      <c r="I57" s="67">
        <v>6.27</v>
      </c>
      <c r="J57" s="109">
        <v>1</v>
      </c>
      <c r="K57" s="68">
        <f t="shared" si="13"/>
        <v>2048316.7027049996</v>
      </c>
      <c r="L57" s="79" t="s">
        <v>54</v>
      </c>
      <c r="M57" s="68">
        <f t="shared" si="24"/>
        <v>1945900.8675697495</v>
      </c>
      <c r="N57" s="68">
        <f t="shared" si="14"/>
        <v>1645900.8675697495</v>
      </c>
      <c r="O57" s="68">
        <f t="shared" si="15"/>
        <v>2012061.4970671211</v>
      </c>
      <c r="P57" s="68">
        <f t="shared" si="16"/>
        <v>366160.62949737161</v>
      </c>
      <c r="Q57" s="68">
        <f t="shared" si="17"/>
        <v>1645900.8675697495</v>
      </c>
      <c r="R57" s="137" t="s">
        <v>69</v>
      </c>
      <c r="S57" s="109">
        <v>6</v>
      </c>
      <c r="T57" s="72">
        <f t="shared" si="18"/>
        <v>14.77</v>
      </c>
      <c r="U57" s="72">
        <f t="shared" si="19"/>
        <v>0</v>
      </c>
      <c r="V57" s="73">
        <f t="shared" si="20"/>
        <v>0</v>
      </c>
      <c r="W57" s="73">
        <f t="shared" si="21"/>
        <v>0</v>
      </c>
      <c r="X57" s="68">
        <f t="shared" si="22"/>
        <v>409663.34054099995</v>
      </c>
      <c r="Y57" s="74">
        <f t="shared" si="23"/>
        <v>300000</v>
      </c>
      <c r="Z57" s="62">
        <f t="array" ref="Z57">_xlfn.IFS(AND(F57=3,G57&gt;90),(90*1)+((G57-90)*0.15),AND(F57=3.5,G57&gt;100),(100*1)+((G57-100)*0.15),AND(F57=4,G57&gt;110),(110*1)+((G57-110)*0.15),AND(F57=4.5,G57&gt;120),(120*1)+((G57-120)*0.15),AND(F57=5,G57&gt;125),(125*1)+((G57-125)*0.15),AND(F57=5.5,G57&gt;135),(135*1)+((G57-135)*0.15),AND(F57=6,G57&gt;145),(145*1)+((G57-145)*0.15),TRUE(),G57)</f>
        <v>110.5055</v>
      </c>
      <c r="AA57" s="63">
        <v>-0.05</v>
      </c>
      <c r="AD57" s="136" t="s">
        <v>47</v>
      </c>
      <c r="AE57" s="64" t="b">
        <f t="shared" si="25"/>
        <v>0</v>
      </c>
      <c r="AI57" s="64" t="e">
        <f>L57='[1]מחיר מטרה-שקבלתי מאסתר'!L57</f>
        <v>#REF!</v>
      </c>
    </row>
    <row r="58" spans="1:35" ht="14.25" customHeight="1" x14ac:dyDescent="0.3">
      <c r="A58" s="65" t="s">
        <v>67</v>
      </c>
      <c r="B58" s="66">
        <v>130</v>
      </c>
      <c r="C58" s="66">
        <v>7</v>
      </c>
      <c r="D58" s="79" t="s">
        <v>71</v>
      </c>
      <c r="E58" s="79">
        <v>2</v>
      </c>
      <c r="F58" s="67">
        <v>4</v>
      </c>
      <c r="G58" s="79">
        <v>103.79</v>
      </c>
      <c r="H58" s="79">
        <v>14.98</v>
      </c>
      <c r="I58" s="79">
        <v>6.51</v>
      </c>
      <c r="J58" s="109">
        <v>1</v>
      </c>
      <c r="K58" s="68">
        <f t="shared" si="13"/>
        <v>1935881.31672</v>
      </c>
      <c r="L58" s="79" t="s">
        <v>54</v>
      </c>
      <c r="M58" s="68">
        <f t="shared" si="24"/>
        <v>1839087.250884</v>
      </c>
      <c r="N58" s="68">
        <f t="shared" si="14"/>
        <v>1539087.250884</v>
      </c>
      <c r="O58" s="68">
        <f t="shared" si="15"/>
        <v>1901616.217414056</v>
      </c>
      <c r="P58" s="68">
        <f t="shared" si="16"/>
        <v>362528.96653005597</v>
      </c>
      <c r="Q58" s="68">
        <f t="shared" si="17"/>
        <v>1539087.250884</v>
      </c>
      <c r="R58" s="137" t="s">
        <v>69</v>
      </c>
      <c r="S58" s="109">
        <v>7</v>
      </c>
      <c r="T58" s="72">
        <f t="shared" si="18"/>
        <v>14.98</v>
      </c>
      <c r="U58" s="72">
        <f t="shared" si="19"/>
        <v>0</v>
      </c>
      <c r="V58" s="73">
        <f t="shared" si="20"/>
        <v>0</v>
      </c>
      <c r="W58" s="73">
        <f t="shared" si="21"/>
        <v>0</v>
      </c>
      <c r="X58" s="68">
        <f t="shared" si="22"/>
        <v>387176.26334400004</v>
      </c>
      <c r="Y58" s="74">
        <f t="shared" si="23"/>
        <v>300000</v>
      </c>
      <c r="Z58" s="62">
        <f t="array" ref="Z58">_xlfn.IFS(AND(F58=3,G58&gt;90),(90*1)+((G58-90)*0.15),AND(F58=3.5,G58&gt;100),(100*1)+((G58-100)*0.15),AND(F58=4,G58&gt;110),(110*1)+((G58-110)*0.15),AND(F58=4.5,G58&gt;120),(120*1)+((G58-120)*0.15),AND(F58=5,G58&gt;125),(125*1)+((G58-125)*0.15),AND(F58=5.5,G58&gt;135),(135*1)+((G58-135)*0.15),AND(F58=6,G58&gt;145),(145*1)+((G58-145)*0.15),TRUE(),G58)</f>
        <v>103.79</v>
      </c>
      <c r="AA58" s="63">
        <v>-0.05</v>
      </c>
      <c r="AD58" s="136" t="s">
        <v>47</v>
      </c>
      <c r="AE58" s="64" t="b">
        <f t="shared" si="25"/>
        <v>0</v>
      </c>
      <c r="AI58" s="64" t="e">
        <f>L58='[1]מחיר מטרה-שקבלתי מאסתר'!L58</f>
        <v>#REF!</v>
      </c>
    </row>
    <row r="59" spans="1:35" ht="14.25" customHeight="1" x14ac:dyDescent="0.3">
      <c r="A59" s="65" t="s">
        <v>67</v>
      </c>
      <c r="B59" s="66">
        <v>130</v>
      </c>
      <c r="C59" s="66">
        <v>8</v>
      </c>
      <c r="D59" s="79" t="s">
        <v>72</v>
      </c>
      <c r="E59" s="79">
        <v>2</v>
      </c>
      <c r="F59" s="67">
        <v>3</v>
      </c>
      <c r="G59" s="79">
        <v>84.76</v>
      </c>
      <c r="H59" s="79">
        <v>12</v>
      </c>
      <c r="I59" s="79">
        <v>6.69</v>
      </c>
      <c r="J59" s="109">
        <v>1</v>
      </c>
      <c r="K59" s="68">
        <f t="shared" si="13"/>
        <v>1595445.52284</v>
      </c>
      <c r="L59" s="79" t="s">
        <v>54</v>
      </c>
      <c r="M59" s="68">
        <f t="shared" si="24"/>
        <v>1515673.246698</v>
      </c>
      <c r="N59" s="68">
        <f t="shared" si="14"/>
        <v>1215673.246698</v>
      </c>
      <c r="O59" s="68">
        <f t="shared" si="15"/>
        <v>1567206.1370857321</v>
      </c>
      <c r="P59" s="68">
        <f t="shared" si="16"/>
        <v>351532.89038773207</v>
      </c>
      <c r="Q59" s="68">
        <f t="shared" si="17"/>
        <v>1215673.246698</v>
      </c>
      <c r="R59" s="137" t="s">
        <v>69</v>
      </c>
      <c r="S59" s="109">
        <v>8</v>
      </c>
      <c r="T59" s="72">
        <f t="shared" si="18"/>
        <v>12</v>
      </c>
      <c r="U59" s="72">
        <f t="shared" si="19"/>
        <v>0</v>
      </c>
      <c r="V59" s="73">
        <f t="shared" si="20"/>
        <v>0</v>
      </c>
      <c r="W59" s="73">
        <f t="shared" si="21"/>
        <v>0</v>
      </c>
      <c r="X59" s="68">
        <f t="shared" si="22"/>
        <v>319089.10456800001</v>
      </c>
      <c r="Y59" s="74">
        <f t="shared" si="23"/>
        <v>300000</v>
      </c>
      <c r="Z59" s="62">
        <f t="array" ref="Z59">_xlfn.IFS(AND(F59=3,G59&gt;90),(90*1)+((G59-90)*0.15),AND(F59=3.5,G59&gt;100),(100*1)+((G59-100)*0.15),AND(F59=4,G59&gt;110),(110*1)+((G59-110)*0.15),AND(F59=4.5,G59&gt;120),(120*1)+((G59-120)*0.15),AND(F59=5,G59&gt;125),(125*1)+((G59-125)*0.15),AND(F59=5.5,G59&gt;135),(135*1)+((G59-135)*0.15),AND(F59=6,G59&gt;145),(145*1)+((G59-145)*0.15),TRUE(),G59)</f>
        <v>84.76</v>
      </c>
      <c r="AA59" s="63">
        <v>-0.05</v>
      </c>
      <c r="AD59" s="136" t="s">
        <v>47</v>
      </c>
      <c r="AE59" s="64" t="b">
        <f t="shared" si="25"/>
        <v>0</v>
      </c>
      <c r="AI59" s="64" t="e">
        <f>L59='[1]מחיר מטרה-שקבלתי מאסתר'!L59</f>
        <v>#REF!</v>
      </c>
    </row>
    <row r="60" spans="1:35" ht="14.25" customHeight="1" x14ac:dyDescent="0.3">
      <c r="A60" s="65" t="s">
        <v>67</v>
      </c>
      <c r="B60" s="66">
        <v>130</v>
      </c>
      <c r="C60" s="66">
        <v>9</v>
      </c>
      <c r="D60" s="79" t="s">
        <v>68</v>
      </c>
      <c r="E60" s="79">
        <v>3</v>
      </c>
      <c r="F60" s="79">
        <v>5</v>
      </c>
      <c r="G60" s="79">
        <v>124.19</v>
      </c>
      <c r="H60" s="79">
        <v>15</v>
      </c>
      <c r="I60" s="79">
        <v>7.23</v>
      </c>
      <c r="J60" s="109">
        <v>2</v>
      </c>
      <c r="K60" s="68">
        <f t="shared" si="13"/>
        <v>2325053.6875799997</v>
      </c>
      <c r="L60" s="67" t="s">
        <v>54</v>
      </c>
      <c r="M60" s="68">
        <f t="shared" si="24"/>
        <v>2208801.0032009995</v>
      </c>
      <c r="N60" s="68">
        <f t="shared" si="14"/>
        <v>1908801.0032009995</v>
      </c>
      <c r="O60" s="68">
        <f t="shared" si="15"/>
        <v>2283900.2373098335</v>
      </c>
      <c r="P60" s="68">
        <f t="shared" si="16"/>
        <v>375099.23410883406</v>
      </c>
      <c r="Q60" s="68">
        <f t="shared" si="17"/>
        <v>1908801.0032009995</v>
      </c>
      <c r="R60" s="137" t="s">
        <v>69</v>
      </c>
      <c r="S60" s="109">
        <v>9</v>
      </c>
      <c r="T60" s="72">
        <f t="shared" si="18"/>
        <v>15</v>
      </c>
      <c r="U60" s="72">
        <f t="shared" si="19"/>
        <v>0</v>
      </c>
      <c r="V60" s="73">
        <f t="shared" si="20"/>
        <v>0</v>
      </c>
      <c r="W60" s="73">
        <f t="shared" si="21"/>
        <v>0</v>
      </c>
      <c r="X60" s="68">
        <f t="shared" si="22"/>
        <v>465010.73751599994</v>
      </c>
      <c r="Y60" s="74">
        <f t="shared" si="23"/>
        <v>300000</v>
      </c>
      <c r="Z60" s="62">
        <f t="array" ref="Z60">_xlfn.IFS(AND(F60=3,G60&gt;90),(90*1)+((G60-90)*0.15),AND(F60=3.5,G60&gt;100),(100*1)+((G60-100)*0.15),AND(F60=4,G60&gt;110),(110*1)+((G60-110)*0.15),AND(F60=4.5,G60&gt;120),(120*1)+((G60-120)*0.15),AND(F60=5,G60&gt;125),(125*1)+((G60-125)*0.15),AND(F60=5.5,G60&gt;135),(135*1)+((G60-135)*0.15),AND(F60=6,G60&gt;145),(145*1)+((G60-145)*0.15),TRUE(),G60)</f>
        <v>124.19</v>
      </c>
      <c r="AA60" s="63">
        <v>-0.05</v>
      </c>
      <c r="AD60" s="138" t="s">
        <v>54</v>
      </c>
      <c r="AE60" s="64" t="b">
        <f t="shared" si="25"/>
        <v>1</v>
      </c>
      <c r="AI60" s="64" t="e">
        <f>L60='[1]מחיר מטרה-שקבלתי מאסתר'!L60</f>
        <v>#REF!</v>
      </c>
    </row>
    <row r="61" spans="1:35" ht="14.25" customHeight="1" x14ac:dyDescent="0.3">
      <c r="A61" s="65" t="s">
        <v>67</v>
      </c>
      <c r="B61" s="66">
        <v>130</v>
      </c>
      <c r="C61" s="66">
        <v>10</v>
      </c>
      <c r="D61" s="67" t="s">
        <v>70</v>
      </c>
      <c r="E61" s="67">
        <v>3</v>
      </c>
      <c r="F61" s="67">
        <v>4</v>
      </c>
      <c r="G61" s="67">
        <v>113.37</v>
      </c>
      <c r="H61" s="67">
        <v>19.38</v>
      </c>
      <c r="I61" s="67">
        <v>6.27</v>
      </c>
      <c r="J61" s="109">
        <v>1</v>
      </c>
      <c r="K61" s="68">
        <f t="shared" si="13"/>
        <v>2072033.3409749996</v>
      </c>
      <c r="L61" s="79" t="s">
        <v>54</v>
      </c>
      <c r="M61" s="68">
        <f t="shared" si="24"/>
        <v>1968431.6739262496</v>
      </c>
      <c r="N61" s="68">
        <f t="shared" si="14"/>
        <v>1668431.6739262496</v>
      </c>
      <c r="O61" s="68">
        <f t="shared" si="15"/>
        <v>2035358.3508397422</v>
      </c>
      <c r="P61" s="68">
        <f t="shared" si="16"/>
        <v>366926.67691349261</v>
      </c>
      <c r="Q61" s="68">
        <f t="shared" si="17"/>
        <v>1668431.6739262496</v>
      </c>
      <c r="R61" s="137" t="s">
        <v>69</v>
      </c>
      <c r="S61" s="109">
        <v>10</v>
      </c>
      <c r="T61" s="72">
        <f t="shared" si="18"/>
        <v>19.38</v>
      </c>
      <c r="U61" s="72">
        <f t="shared" si="19"/>
        <v>0</v>
      </c>
      <c r="V61" s="73">
        <f t="shared" si="20"/>
        <v>0</v>
      </c>
      <c r="W61" s="73">
        <f t="shared" si="21"/>
        <v>0</v>
      </c>
      <c r="X61" s="68">
        <f t="shared" si="22"/>
        <v>414406.66819499992</v>
      </c>
      <c r="Y61" s="74">
        <f t="shared" si="23"/>
        <v>300000</v>
      </c>
      <c r="Z61" s="62">
        <f t="array" ref="Z61">_xlfn.IFS(AND(F61=3,G61&gt;90),(90*1)+((G61-90)*0.15),AND(F61=3.5,G61&gt;100),(100*1)+((G61-100)*0.15),AND(F61=4,G61&gt;110),(110*1)+((G61-110)*0.15),AND(F61=4.5,G61&gt;120),(120*1)+((G61-120)*0.15),AND(F61=5,G61&gt;125),(125*1)+((G61-125)*0.15),AND(F61=5.5,G61&gt;135),(135*1)+((G61-135)*0.15),AND(F61=6,G61&gt;145),(145*1)+((G61-145)*0.15),TRUE(),G61)</f>
        <v>110.5055</v>
      </c>
      <c r="AA61" s="63">
        <v>-0.05</v>
      </c>
      <c r="AD61" s="136" t="s">
        <v>47</v>
      </c>
      <c r="AE61" s="64" t="b">
        <f t="shared" si="25"/>
        <v>0</v>
      </c>
      <c r="AI61" s="64" t="e">
        <f>L61='[1]מחיר מטרה-שקבלתי מאסתר'!L61</f>
        <v>#REF!</v>
      </c>
    </row>
    <row r="62" spans="1:35" ht="15.6" x14ac:dyDescent="0.3">
      <c r="A62" s="65" t="s">
        <v>67</v>
      </c>
      <c r="B62" s="66">
        <v>130</v>
      </c>
      <c r="C62" s="66">
        <v>11</v>
      </c>
      <c r="D62" s="79" t="s">
        <v>71</v>
      </c>
      <c r="E62" s="79">
        <v>3</v>
      </c>
      <c r="F62" s="67">
        <v>4</v>
      </c>
      <c r="G62" s="79">
        <v>103.79</v>
      </c>
      <c r="H62" s="79">
        <v>14.98</v>
      </c>
      <c r="I62" s="79">
        <v>6.51</v>
      </c>
      <c r="J62" s="109">
        <v>1</v>
      </c>
      <c r="K62" s="68">
        <f t="shared" si="13"/>
        <v>1935881.31672</v>
      </c>
      <c r="L62" s="79" t="s">
        <v>54</v>
      </c>
      <c r="M62" s="68">
        <f t="shared" si="24"/>
        <v>1839087.250884</v>
      </c>
      <c r="N62" s="68">
        <f t="shared" si="14"/>
        <v>1539087.250884</v>
      </c>
      <c r="O62" s="68">
        <f t="shared" si="15"/>
        <v>1901616.217414056</v>
      </c>
      <c r="P62" s="68">
        <f t="shared" si="16"/>
        <v>362528.96653005597</v>
      </c>
      <c r="Q62" s="68">
        <f t="shared" si="17"/>
        <v>1539087.250884</v>
      </c>
      <c r="R62" s="137" t="s">
        <v>69</v>
      </c>
      <c r="S62" s="109">
        <v>11</v>
      </c>
      <c r="T62" s="72">
        <f t="shared" si="18"/>
        <v>14.98</v>
      </c>
      <c r="U62" s="72">
        <f t="shared" si="19"/>
        <v>0</v>
      </c>
      <c r="V62" s="73">
        <f t="shared" si="20"/>
        <v>0</v>
      </c>
      <c r="W62" s="73">
        <f t="shared" si="21"/>
        <v>0</v>
      </c>
      <c r="X62" s="68">
        <f t="shared" si="22"/>
        <v>387176.26334400004</v>
      </c>
      <c r="Y62" s="74">
        <f t="shared" si="23"/>
        <v>300000</v>
      </c>
      <c r="Z62" s="62">
        <f t="array" ref="Z62">_xlfn.IFS(AND(F62=3,G62&gt;90),(90*1)+((G62-90)*0.15),AND(F62=3.5,G62&gt;100),(100*1)+((G62-100)*0.15),AND(F62=4,G62&gt;110),(110*1)+((G62-110)*0.15),AND(F62=4.5,G62&gt;120),(120*1)+((G62-120)*0.15),AND(F62=5,G62&gt;125),(125*1)+((G62-125)*0.15),AND(F62=5.5,G62&gt;135),(135*1)+((G62-135)*0.15),AND(F62=6,G62&gt;145),(145*1)+((G62-145)*0.15),TRUE(),G62)</f>
        <v>103.79</v>
      </c>
      <c r="AA62" s="63">
        <v>-0.05</v>
      </c>
      <c r="AD62" s="136" t="s">
        <v>47</v>
      </c>
      <c r="AE62" s="64" t="b">
        <f t="shared" si="25"/>
        <v>0</v>
      </c>
      <c r="AI62" s="64" t="e">
        <f>L62='[1]מחיר מטרה-שקבלתי מאסתר'!L62</f>
        <v>#REF!</v>
      </c>
    </row>
    <row r="63" spans="1:35" ht="15.6" x14ac:dyDescent="0.3">
      <c r="A63" s="65" t="s">
        <v>67</v>
      </c>
      <c r="B63" s="66">
        <v>130</v>
      </c>
      <c r="C63" s="66">
        <v>12</v>
      </c>
      <c r="D63" s="79" t="s">
        <v>72</v>
      </c>
      <c r="E63" s="79">
        <v>3</v>
      </c>
      <c r="F63" s="67">
        <v>3</v>
      </c>
      <c r="G63" s="79">
        <v>84.76</v>
      </c>
      <c r="H63" s="79">
        <v>12</v>
      </c>
      <c r="I63" s="79">
        <v>6.69</v>
      </c>
      <c r="J63" s="109">
        <v>1</v>
      </c>
      <c r="K63" s="68">
        <f t="shared" si="13"/>
        <v>1595445.52284</v>
      </c>
      <c r="L63" s="79" t="s">
        <v>54</v>
      </c>
      <c r="M63" s="68">
        <f t="shared" si="24"/>
        <v>1515673.246698</v>
      </c>
      <c r="N63" s="68">
        <f t="shared" si="14"/>
        <v>1215673.246698</v>
      </c>
      <c r="O63" s="68">
        <f t="shared" si="15"/>
        <v>1567206.1370857321</v>
      </c>
      <c r="P63" s="68">
        <f t="shared" si="16"/>
        <v>351532.89038773207</v>
      </c>
      <c r="Q63" s="68">
        <f t="shared" si="17"/>
        <v>1215673.246698</v>
      </c>
      <c r="R63" s="137" t="s">
        <v>69</v>
      </c>
      <c r="S63" s="109">
        <v>12</v>
      </c>
      <c r="T63" s="72">
        <f t="shared" si="18"/>
        <v>12</v>
      </c>
      <c r="U63" s="72">
        <f t="shared" si="19"/>
        <v>0</v>
      </c>
      <c r="V63" s="73">
        <f t="shared" si="20"/>
        <v>0</v>
      </c>
      <c r="W63" s="73">
        <f t="shared" si="21"/>
        <v>0</v>
      </c>
      <c r="X63" s="68">
        <f t="shared" si="22"/>
        <v>319089.10456800001</v>
      </c>
      <c r="Y63" s="74">
        <f t="shared" si="23"/>
        <v>300000</v>
      </c>
      <c r="Z63" s="62">
        <f t="array" ref="Z63">_xlfn.IFS(AND(F63=3,G63&gt;90),(90*1)+((G63-90)*0.15),AND(F63=3.5,G63&gt;100),(100*1)+((G63-100)*0.15),AND(F63=4,G63&gt;110),(110*1)+((G63-110)*0.15),AND(F63=4.5,G63&gt;120),(120*1)+((G63-120)*0.15),AND(F63=5,G63&gt;125),(125*1)+((G63-125)*0.15),AND(F63=5.5,G63&gt;135),(135*1)+((G63-135)*0.15),AND(F63=6,G63&gt;145),(145*1)+((G63-145)*0.15),TRUE(),G63)</f>
        <v>84.76</v>
      </c>
      <c r="AA63" s="63">
        <v>-0.05</v>
      </c>
      <c r="AD63" s="136" t="s">
        <v>47</v>
      </c>
      <c r="AE63" s="64" t="b">
        <f t="shared" si="25"/>
        <v>0</v>
      </c>
      <c r="AI63" s="64" t="e">
        <f>L63='[1]מחיר מטרה-שקבלתי מאסתר'!L63</f>
        <v>#REF!</v>
      </c>
    </row>
    <row r="64" spans="1:35" ht="14.25" customHeight="1" x14ac:dyDescent="0.3">
      <c r="A64" s="65" t="s">
        <v>67</v>
      </c>
      <c r="B64" s="66">
        <v>130</v>
      </c>
      <c r="C64" s="66">
        <v>13</v>
      </c>
      <c r="D64" s="79" t="s">
        <v>68</v>
      </c>
      <c r="E64" s="79">
        <v>4</v>
      </c>
      <c r="F64" s="79">
        <v>5</v>
      </c>
      <c r="G64" s="79">
        <v>124.19</v>
      </c>
      <c r="H64" s="79">
        <v>15</v>
      </c>
      <c r="I64" s="79">
        <v>7.23</v>
      </c>
      <c r="J64" s="109">
        <v>2</v>
      </c>
      <c r="K64" s="68">
        <f t="shared" si="13"/>
        <v>2325053.6875799997</v>
      </c>
      <c r="L64" s="77" t="s">
        <v>47</v>
      </c>
      <c r="M64" s="68">
        <f t="shared" si="24"/>
        <v>2220426.2716388996</v>
      </c>
      <c r="N64" s="68">
        <f t="shared" si="14"/>
        <v>1920426.2716388996</v>
      </c>
      <c r="O64" s="68">
        <f t="shared" si="15"/>
        <v>2295920.7648746222</v>
      </c>
      <c r="P64" s="68">
        <f t="shared" si="16"/>
        <v>375494.49323572265</v>
      </c>
      <c r="Q64" s="68">
        <f t="shared" si="17"/>
        <v>1920426.2716388996</v>
      </c>
      <c r="R64" s="137" t="s">
        <v>69</v>
      </c>
      <c r="S64" s="109">
        <v>13</v>
      </c>
      <c r="T64" s="72">
        <f t="shared" si="18"/>
        <v>15</v>
      </c>
      <c r="U64" s="72">
        <f t="shared" si="19"/>
        <v>0</v>
      </c>
      <c r="V64" s="73">
        <f t="shared" si="20"/>
        <v>0</v>
      </c>
      <c r="W64" s="73">
        <f t="shared" si="21"/>
        <v>0</v>
      </c>
      <c r="X64" s="68">
        <f t="shared" si="22"/>
        <v>465010.73751599994</v>
      </c>
      <c r="Y64" s="74">
        <f t="shared" si="23"/>
        <v>300000</v>
      </c>
      <c r="Z64" s="62">
        <f t="array" ref="Z64">_xlfn.IFS(AND(F64=3,G64&gt;90),(90*1)+((G64-90)*0.15),AND(F64=3.5,G64&gt;100),(100*1)+((G64-100)*0.15),AND(F64=4,G64&gt;110),(110*1)+((G64-110)*0.15),AND(F64=4.5,G64&gt;120),(120*1)+((G64-120)*0.15),AND(F64=5,G64&gt;125),(125*1)+((G64-125)*0.15),AND(F64=5.5,G64&gt;135),(135*1)+((G64-135)*0.15),AND(F64=6,G64&gt;145),(145*1)+((G64-145)*0.15),TRUE(),G64)</f>
        <v>124.19</v>
      </c>
      <c r="AA64" s="63">
        <v>-4.4999999999999998E-2</v>
      </c>
      <c r="AD64" s="138" t="s">
        <v>54</v>
      </c>
      <c r="AE64" s="64" t="b">
        <f t="shared" si="25"/>
        <v>0</v>
      </c>
      <c r="AI64" s="64" t="e">
        <f>L64='[1]מחיר מטרה-שקבלתי מאסתר'!L64</f>
        <v>#REF!</v>
      </c>
    </row>
    <row r="65" spans="1:35" ht="14.25" customHeight="1" x14ac:dyDescent="0.3">
      <c r="A65" s="65" t="s">
        <v>67</v>
      </c>
      <c r="B65" s="66">
        <v>130</v>
      </c>
      <c r="C65" s="66">
        <v>14</v>
      </c>
      <c r="D65" s="67" t="s">
        <v>73</v>
      </c>
      <c r="E65" s="67">
        <v>4</v>
      </c>
      <c r="F65" s="67">
        <v>4</v>
      </c>
      <c r="G65" s="67">
        <v>113.37</v>
      </c>
      <c r="H65" s="67">
        <v>14.77</v>
      </c>
      <c r="I65" s="67">
        <v>6.27</v>
      </c>
      <c r="J65" s="109">
        <v>1</v>
      </c>
      <c r="K65" s="68">
        <f t="shared" si="13"/>
        <v>2048316.7027049996</v>
      </c>
      <c r="L65" s="79" t="s">
        <v>54</v>
      </c>
      <c r="M65" s="68">
        <f t="shared" si="24"/>
        <v>1956142.4510832746</v>
      </c>
      <c r="N65" s="68">
        <f t="shared" si="14"/>
        <v>1656142.4510832746</v>
      </c>
      <c r="O65" s="68">
        <f t="shared" si="15"/>
        <v>2022651.2944201059</v>
      </c>
      <c r="P65" s="68">
        <f t="shared" si="16"/>
        <v>366508.84333683131</v>
      </c>
      <c r="Q65" s="68">
        <f t="shared" si="17"/>
        <v>1656142.4510832746</v>
      </c>
      <c r="R65" s="137" t="s">
        <v>69</v>
      </c>
      <c r="S65" s="109">
        <v>14</v>
      </c>
      <c r="T65" s="72">
        <f t="shared" si="18"/>
        <v>14.77</v>
      </c>
      <c r="U65" s="72">
        <f t="shared" si="19"/>
        <v>0</v>
      </c>
      <c r="V65" s="73">
        <f t="shared" si="20"/>
        <v>0</v>
      </c>
      <c r="W65" s="73">
        <f t="shared" si="21"/>
        <v>0</v>
      </c>
      <c r="X65" s="68">
        <f t="shared" si="22"/>
        <v>409663.34054099995</v>
      </c>
      <c r="Y65" s="74">
        <f t="shared" si="23"/>
        <v>300000</v>
      </c>
      <c r="Z65" s="62">
        <f t="array" ref="Z65">_xlfn.IFS(AND(F65=3,G65&gt;90),(90*1)+((G65-90)*0.15),AND(F65=3.5,G65&gt;100),(100*1)+((G65-100)*0.15),AND(F65=4,G65&gt;110),(110*1)+((G65-110)*0.15),AND(F65=4.5,G65&gt;120),(120*1)+((G65-120)*0.15),AND(F65=5,G65&gt;125),(125*1)+((G65-125)*0.15),AND(F65=5.5,G65&gt;135),(135*1)+((G65-135)*0.15),AND(F65=6,G65&gt;145),(145*1)+((G65-145)*0.15),TRUE(),G65)</f>
        <v>110.5055</v>
      </c>
      <c r="AA65" s="63">
        <v>-4.4999999999999998E-2</v>
      </c>
      <c r="AD65" s="136" t="s">
        <v>47</v>
      </c>
      <c r="AE65" s="64" t="b">
        <f t="shared" si="25"/>
        <v>0</v>
      </c>
      <c r="AI65" s="64" t="e">
        <f>L65='[1]מחיר מטרה-שקבלתי מאסתר'!L65</f>
        <v>#REF!</v>
      </c>
    </row>
    <row r="66" spans="1:35" ht="14.25" customHeight="1" x14ac:dyDescent="0.3">
      <c r="A66" s="65" t="s">
        <v>67</v>
      </c>
      <c r="B66" s="66">
        <v>130</v>
      </c>
      <c r="C66" s="66">
        <v>15</v>
      </c>
      <c r="D66" s="79" t="s">
        <v>71</v>
      </c>
      <c r="E66" s="79">
        <v>4</v>
      </c>
      <c r="F66" s="67">
        <v>4</v>
      </c>
      <c r="G66" s="79">
        <v>103.79</v>
      </c>
      <c r="H66" s="79">
        <v>14.98</v>
      </c>
      <c r="I66" s="79">
        <v>6.51</v>
      </c>
      <c r="J66" s="109">
        <v>1</v>
      </c>
      <c r="K66" s="68">
        <f t="shared" si="13"/>
        <v>1935881.31672</v>
      </c>
      <c r="L66" s="79" t="s">
        <v>54</v>
      </c>
      <c r="M66" s="68">
        <f t="shared" si="24"/>
        <v>1848766.6574676</v>
      </c>
      <c r="N66" s="68">
        <f t="shared" si="14"/>
        <v>1548766.6574676</v>
      </c>
      <c r="O66" s="68">
        <f t="shared" si="15"/>
        <v>1911624.7238214985</v>
      </c>
      <c r="P66" s="68">
        <f t="shared" si="16"/>
        <v>362858.0663538985</v>
      </c>
      <c r="Q66" s="68">
        <f t="shared" si="17"/>
        <v>1548766.6574676</v>
      </c>
      <c r="R66" s="137" t="s">
        <v>69</v>
      </c>
      <c r="S66" s="109">
        <v>15</v>
      </c>
      <c r="T66" s="72">
        <f t="shared" si="18"/>
        <v>14.98</v>
      </c>
      <c r="U66" s="72">
        <f t="shared" si="19"/>
        <v>0</v>
      </c>
      <c r="V66" s="73">
        <f t="shared" si="20"/>
        <v>0</v>
      </c>
      <c r="W66" s="73">
        <f t="shared" si="21"/>
        <v>0</v>
      </c>
      <c r="X66" s="68">
        <f t="shared" si="22"/>
        <v>387176.26334400004</v>
      </c>
      <c r="Y66" s="74">
        <f t="shared" si="23"/>
        <v>300000</v>
      </c>
      <c r="Z66" s="62">
        <f t="array" ref="Z66">_xlfn.IFS(AND(F66=3,G66&gt;90),(90*1)+((G66-90)*0.15),AND(F66=3.5,G66&gt;100),(100*1)+((G66-100)*0.15),AND(F66=4,G66&gt;110),(110*1)+((G66-110)*0.15),AND(F66=4.5,G66&gt;120),(120*1)+((G66-120)*0.15),AND(F66=5,G66&gt;125),(125*1)+((G66-125)*0.15),AND(F66=5.5,G66&gt;135),(135*1)+((G66-135)*0.15),AND(F66=6,G66&gt;145),(145*1)+((G66-145)*0.15),TRUE(),G66)</f>
        <v>103.79</v>
      </c>
      <c r="AA66" s="63">
        <v>-4.4999999999999998E-2</v>
      </c>
      <c r="AD66" s="136" t="s">
        <v>47</v>
      </c>
      <c r="AE66" s="64" t="b">
        <f t="shared" si="25"/>
        <v>0</v>
      </c>
      <c r="AI66" s="64" t="e">
        <f>L66='[1]מחיר מטרה-שקבלתי מאסתר'!L66</f>
        <v>#REF!</v>
      </c>
    </row>
    <row r="67" spans="1:35" ht="14.25" customHeight="1" x14ac:dyDescent="0.3">
      <c r="A67" s="65" t="s">
        <v>67</v>
      </c>
      <c r="B67" s="66">
        <v>130</v>
      </c>
      <c r="C67" s="66">
        <v>16</v>
      </c>
      <c r="D67" s="79" t="s">
        <v>72</v>
      </c>
      <c r="E67" s="79">
        <v>4</v>
      </c>
      <c r="F67" s="67">
        <v>3</v>
      </c>
      <c r="G67" s="79">
        <v>84.76</v>
      </c>
      <c r="H67" s="79">
        <v>12</v>
      </c>
      <c r="I67" s="79">
        <v>6.69</v>
      </c>
      <c r="J67" s="109">
        <v>1</v>
      </c>
      <c r="K67" s="68">
        <f t="shared" si="13"/>
        <v>1595445.52284</v>
      </c>
      <c r="L67" s="79" t="s">
        <v>54</v>
      </c>
      <c r="M67" s="68">
        <f t="shared" si="24"/>
        <v>1523650.4743122</v>
      </c>
      <c r="N67" s="68">
        <f t="shared" si="14"/>
        <v>1223650.4743122</v>
      </c>
      <c r="O67" s="68">
        <f t="shared" si="15"/>
        <v>1575454.5904388148</v>
      </c>
      <c r="P67" s="68">
        <f t="shared" si="16"/>
        <v>351804.11612661486</v>
      </c>
      <c r="Q67" s="68">
        <f t="shared" si="17"/>
        <v>1223650.4743122</v>
      </c>
      <c r="R67" s="137" t="s">
        <v>69</v>
      </c>
      <c r="S67" s="109">
        <v>16</v>
      </c>
      <c r="T67" s="72">
        <f t="shared" si="18"/>
        <v>12</v>
      </c>
      <c r="U67" s="72">
        <f t="shared" si="19"/>
        <v>0</v>
      </c>
      <c r="V67" s="73">
        <f t="shared" si="20"/>
        <v>0</v>
      </c>
      <c r="W67" s="73">
        <f t="shared" si="21"/>
        <v>0</v>
      </c>
      <c r="X67" s="68">
        <f t="shared" si="22"/>
        <v>319089.10456800001</v>
      </c>
      <c r="Y67" s="74">
        <f t="shared" si="23"/>
        <v>300000</v>
      </c>
      <c r="Z67" s="62">
        <f t="array" ref="Z67">_xlfn.IFS(AND(F67=3,G67&gt;90),(90*1)+((G67-90)*0.15),AND(F67=3.5,G67&gt;100),(100*1)+((G67-100)*0.15),AND(F67=4,G67&gt;110),(110*1)+((G67-110)*0.15),AND(F67=4.5,G67&gt;120),(120*1)+((G67-120)*0.15),AND(F67=5,G67&gt;125),(125*1)+((G67-125)*0.15),AND(F67=5.5,G67&gt;135),(135*1)+((G67-135)*0.15),AND(F67=6,G67&gt;145),(145*1)+((G67-145)*0.15),TRUE(),G67)</f>
        <v>84.76</v>
      </c>
      <c r="AA67" s="63">
        <v>-4.4999999999999998E-2</v>
      </c>
      <c r="AD67" s="136" t="s">
        <v>47</v>
      </c>
      <c r="AE67" s="64" t="b">
        <f t="shared" si="25"/>
        <v>0</v>
      </c>
      <c r="AI67" s="64" t="e">
        <f>L67='[1]מחיר מטרה-שקבלתי מאסתר'!L67</f>
        <v>#REF!</v>
      </c>
    </row>
    <row r="68" spans="1:35" ht="14.25" customHeight="1" x14ac:dyDescent="0.3">
      <c r="A68" s="65" t="s">
        <v>67</v>
      </c>
      <c r="B68" s="66">
        <v>130</v>
      </c>
      <c r="C68" s="66">
        <v>17</v>
      </c>
      <c r="D68" s="79" t="s">
        <v>68</v>
      </c>
      <c r="E68" s="79">
        <v>5</v>
      </c>
      <c r="F68" s="79">
        <v>5</v>
      </c>
      <c r="G68" s="79">
        <v>124.19</v>
      </c>
      <c r="H68" s="79">
        <v>15</v>
      </c>
      <c r="I68" s="79">
        <v>7.23</v>
      </c>
      <c r="J68" s="109">
        <v>2</v>
      </c>
      <c r="K68" s="68">
        <f t="shared" si="13"/>
        <v>2325053.6875799997</v>
      </c>
      <c r="L68" s="77" t="s">
        <v>47</v>
      </c>
      <c r="M68" s="68">
        <f t="shared" si="24"/>
        <v>2232051.5400767997</v>
      </c>
      <c r="N68" s="68">
        <f t="shared" si="14"/>
        <v>1932051.5400767997</v>
      </c>
      <c r="O68" s="68">
        <f t="shared" si="15"/>
        <v>2307941.2924394109</v>
      </c>
      <c r="P68" s="68">
        <f t="shared" si="16"/>
        <v>375889.75236261124</v>
      </c>
      <c r="Q68" s="68">
        <f t="shared" si="17"/>
        <v>1932051.5400767997</v>
      </c>
      <c r="R68" s="137" t="s">
        <v>69</v>
      </c>
      <c r="S68" s="109">
        <v>17</v>
      </c>
      <c r="T68" s="72">
        <f t="shared" si="18"/>
        <v>15</v>
      </c>
      <c r="U68" s="72">
        <f t="shared" si="19"/>
        <v>0</v>
      </c>
      <c r="V68" s="73">
        <f t="shared" si="20"/>
        <v>0</v>
      </c>
      <c r="W68" s="73">
        <f t="shared" si="21"/>
        <v>0</v>
      </c>
      <c r="X68" s="68">
        <f t="shared" si="22"/>
        <v>465010.73751599994</v>
      </c>
      <c r="Y68" s="74">
        <f t="shared" si="23"/>
        <v>300000</v>
      </c>
      <c r="Z68" s="62">
        <f t="array" ref="Z68">_xlfn.IFS(AND(F68=3,G68&gt;90),(90*1)+((G68-90)*0.15),AND(F68=3.5,G68&gt;100),(100*1)+((G68-100)*0.15),AND(F68=4,G68&gt;110),(110*1)+((G68-110)*0.15),AND(F68=4.5,G68&gt;120),(120*1)+((G68-120)*0.15),AND(F68=5,G68&gt;125),(125*1)+((G68-125)*0.15),AND(F68=5.5,G68&gt;135),(135*1)+((G68-135)*0.15),AND(F68=6,G68&gt;145),(145*1)+((G68-145)*0.15),TRUE(),G68)</f>
        <v>124.19</v>
      </c>
      <c r="AA68" s="63">
        <v>-0.04</v>
      </c>
      <c r="AD68" s="138" t="s">
        <v>54</v>
      </c>
      <c r="AE68" s="64" t="b">
        <f t="shared" si="25"/>
        <v>0</v>
      </c>
      <c r="AI68" s="64" t="e">
        <f>L68='[1]מחיר מטרה-שקבלתי מאסתר'!L68</f>
        <v>#REF!</v>
      </c>
    </row>
    <row r="69" spans="1:35" ht="14.25" customHeight="1" x14ac:dyDescent="0.3">
      <c r="A69" s="65" t="s">
        <v>67</v>
      </c>
      <c r="B69" s="66">
        <v>130</v>
      </c>
      <c r="C69" s="66">
        <v>18</v>
      </c>
      <c r="D69" s="67" t="s">
        <v>70</v>
      </c>
      <c r="E69" s="67">
        <v>5</v>
      </c>
      <c r="F69" s="67">
        <v>4</v>
      </c>
      <c r="G69" s="67">
        <v>113.37</v>
      </c>
      <c r="H69" s="67">
        <v>19.38</v>
      </c>
      <c r="I69" s="67">
        <v>6.27</v>
      </c>
      <c r="J69" s="109">
        <v>1</v>
      </c>
      <c r="K69" s="68">
        <f t="shared" si="13"/>
        <v>2072033.3409749996</v>
      </c>
      <c r="L69" s="79" t="s">
        <v>54</v>
      </c>
      <c r="M69" s="68">
        <f t="shared" si="24"/>
        <v>1989152.0073359995</v>
      </c>
      <c r="N69" s="68">
        <f t="shared" si="14"/>
        <v>1689152.0073359995</v>
      </c>
      <c r="O69" s="68">
        <f t="shared" si="15"/>
        <v>2056783.1755854236</v>
      </c>
      <c r="P69" s="68">
        <f t="shared" si="16"/>
        <v>367631.16824942408</v>
      </c>
      <c r="Q69" s="68">
        <f t="shared" si="17"/>
        <v>1689152.0073359995</v>
      </c>
      <c r="R69" s="137" t="s">
        <v>69</v>
      </c>
      <c r="S69" s="109">
        <v>18</v>
      </c>
      <c r="T69" s="72">
        <f t="shared" si="18"/>
        <v>19.38</v>
      </c>
      <c r="U69" s="72">
        <f t="shared" si="19"/>
        <v>0</v>
      </c>
      <c r="V69" s="73">
        <f t="shared" si="20"/>
        <v>0</v>
      </c>
      <c r="W69" s="73">
        <f t="shared" si="21"/>
        <v>0</v>
      </c>
      <c r="X69" s="68">
        <f t="shared" si="22"/>
        <v>414406.66819499992</v>
      </c>
      <c r="Y69" s="74">
        <f t="shared" si="23"/>
        <v>300000</v>
      </c>
      <c r="Z69" s="62">
        <f t="array" ref="Z69">_xlfn.IFS(AND(F69=3,G69&gt;90),(90*1)+((G69-90)*0.15),AND(F69=3.5,G69&gt;100),(100*1)+((G69-100)*0.15),AND(F69=4,G69&gt;110),(110*1)+((G69-110)*0.15),AND(F69=4.5,G69&gt;120),(120*1)+((G69-120)*0.15),AND(F69=5,G69&gt;125),(125*1)+((G69-125)*0.15),AND(F69=5.5,G69&gt;135),(135*1)+((G69-135)*0.15),AND(F69=6,G69&gt;145),(145*1)+((G69-145)*0.15),TRUE(),G69)</f>
        <v>110.5055</v>
      </c>
      <c r="AA69" s="63">
        <v>-0.04</v>
      </c>
      <c r="AD69" s="136" t="s">
        <v>47</v>
      </c>
      <c r="AE69" s="64" t="b">
        <f t="shared" si="25"/>
        <v>0</v>
      </c>
      <c r="AI69" s="64" t="e">
        <f>L69='[1]מחיר מטרה-שקבלתי מאסתר'!L69</f>
        <v>#REF!</v>
      </c>
    </row>
    <row r="70" spans="1:35" ht="14.25" customHeight="1" x14ac:dyDescent="0.3">
      <c r="A70" s="65" t="s">
        <v>67</v>
      </c>
      <c r="B70" s="66">
        <v>130</v>
      </c>
      <c r="C70" s="66">
        <v>19</v>
      </c>
      <c r="D70" s="79" t="s">
        <v>71</v>
      </c>
      <c r="E70" s="79">
        <v>5</v>
      </c>
      <c r="F70" s="67">
        <v>4</v>
      </c>
      <c r="G70" s="79">
        <v>103.79</v>
      </c>
      <c r="H70" s="79">
        <v>14.98</v>
      </c>
      <c r="I70" s="79">
        <v>6.51</v>
      </c>
      <c r="J70" s="109">
        <v>1</v>
      </c>
      <c r="K70" s="68">
        <f t="shared" si="13"/>
        <v>1935881.31672</v>
      </c>
      <c r="L70" s="79" t="s">
        <v>54</v>
      </c>
      <c r="M70" s="68">
        <f t="shared" si="24"/>
        <v>1858446.0640511999</v>
      </c>
      <c r="N70" s="68">
        <f t="shared" si="14"/>
        <v>1558446.0640511999</v>
      </c>
      <c r="O70" s="68">
        <f t="shared" si="15"/>
        <v>1921633.2302289407</v>
      </c>
      <c r="P70" s="68">
        <f t="shared" si="16"/>
        <v>363187.16617774079</v>
      </c>
      <c r="Q70" s="68">
        <f t="shared" si="17"/>
        <v>1558446.0640511999</v>
      </c>
      <c r="R70" s="137" t="s">
        <v>69</v>
      </c>
      <c r="S70" s="109">
        <v>19</v>
      </c>
      <c r="T70" s="72">
        <f t="shared" si="18"/>
        <v>14.98</v>
      </c>
      <c r="U70" s="72">
        <f t="shared" si="19"/>
        <v>0</v>
      </c>
      <c r="V70" s="73">
        <f t="shared" si="20"/>
        <v>0</v>
      </c>
      <c r="W70" s="73">
        <f t="shared" si="21"/>
        <v>0</v>
      </c>
      <c r="X70" s="68">
        <f t="shared" si="22"/>
        <v>387176.26334400004</v>
      </c>
      <c r="Y70" s="74">
        <f t="shared" si="23"/>
        <v>300000</v>
      </c>
      <c r="Z70" s="62">
        <f t="array" ref="Z70">_xlfn.IFS(AND(F70=3,G70&gt;90),(90*1)+((G70-90)*0.15),AND(F70=3.5,G70&gt;100),(100*1)+((G70-100)*0.15),AND(F70=4,G70&gt;110),(110*1)+((G70-110)*0.15),AND(F70=4.5,G70&gt;120),(120*1)+((G70-120)*0.15),AND(F70=5,G70&gt;125),(125*1)+((G70-125)*0.15),AND(F70=5.5,G70&gt;135),(135*1)+((G70-135)*0.15),AND(F70=6,G70&gt;145),(145*1)+((G70-145)*0.15),TRUE(),G70)</f>
        <v>103.79</v>
      </c>
      <c r="AA70" s="63">
        <v>-0.04</v>
      </c>
      <c r="AD70" s="136" t="s">
        <v>47</v>
      </c>
      <c r="AE70" s="64" t="b">
        <f t="shared" si="25"/>
        <v>0</v>
      </c>
      <c r="AI70" s="64" t="e">
        <f>L70='[1]מחיר מטרה-שקבלתי מאסתר'!L70</f>
        <v>#REF!</v>
      </c>
    </row>
    <row r="71" spans="1:35" ht="14.25" customHeight="1" x14ac:dyDescent="0.3">
      <c r="A71" s="65" t="s">
        <v>67</v>
      </c>
      <c r="B71" s="66">
        <v>130</v>
      </c>
      <c r="C71" s="66">
        <v>20</v>
      </c>
      <c r="D71" s="79" t="s">
        <v>72</v>
      </c>
      <c r="E71" s="79">
        <v>5</v>
      </c>
      <c r="F71" s="67">
        <v>3</v>
      </c>
      <c r="G71" s="79">
        <v>84.76</v>
      </c>
      <c r="H71" s="79">
        <v>12</v>
      </c>
      <c r="I71" s="79">
        <v>6.69</v>
      </c>
      <c r="J71" s="109">
        <v>1</v>
      </c>
      <c r="K71" s="68">
        <f t="shared" si="13"/>
        <v>1595445.52284</v>
      </c>
      <c r="L71" s="79" t="s">
        <v>54</v>
      </c>
      <c r="M71" s="68">
        <f t="shared" si="24"/>
        <v>1531627.7019264</v>
      </c>
      <c r="N71" s="68">
        <f t="shared" si="14"/>
        <v>1231627.7019264</v>
      </c>
      <c r="O71" s="68">
        <f t="shared" si="15"/>
        <v>1583703.0437918976</v>
      </c>
      <c r="P71" s="68">
        <f t="shared" si="16"/>
        <v>352075.34186549764</v>
      </c>
      <c r="Q71" s="68">
        <f t="shared" si="17"/>
        <v>1231627.7019264</v>
      </c>
      <c r="R71" s="137" t="s">
        <v>69</v>
      </c>
      <c r="S71" s="109">
        <v>20</v>
      </c>
      <c r="T71" s="72">
        <f t="shared" si="18"/>
        <v>12</v>
      </c>
      <c r="U71" s="72">
        <f t="shared" si="19"/>
        <v>0</v>
      </c>
      <c r="V71" s="73">
        <f t="shared" si="20"/>
        <v>0</v>
      </c>
      <c r="W71" s="73">
        <f t="shared" si="21"/>
        <v>0</v>
      </c>
      <c r="X71" s="68">
        <f t="shared" si="22"/>
        <v>319089.10456800001</v>
      </c>
      <c r="Y71" s="74">
        <f t="shared" si="23"/>
        <v>300000</v>
      </c>
      <c r="Z71" s="62">
        <f t="array" ref="Z71">_xlfn.IFS(AND(F71=3,G71&gt;90),(90*1)+((G71-90)*0.15),AND(F71=3.5,G71&gt;100),(100*1)+((G71-100)*0.15),AND(F71=4,G71&gt;110),(110*1)+((G71-110)*0.15),AND(F71=4.5,G71&gt;120),(120*1)+((G71-120)*0.15),AND(F71=5,G71&gt;125),(125*1)+((G71-125)*0.15),AND(F71=5.5,G71&gt;135),(135*1)+((G71-135)*0.15),AND(F71=6,G71&gt;145),(145*1)+((G71-145)*0.15),TRUE(),G71)</f>
        <v>84.76</v>
      </c>
      <c r="AA71" s="63">
        <v>-0.04</v>
      </c>
      <c r="AD71" s="136" t="s">
        <v>47</v>
      </c>
      <c r="AE71" s="64" t="b">
        <f t="shared" si="25"/>
        <v>0</v>
      </c>
      <c r="AI71" s="64" t="e">
        <f>L71='[1]מחיר מטרה-שקבלתי מאסתר'!L71</f>
        <v>#REF!</v>
      </c>
    </row>
    <row r="72" spans="1:35" ht="14.25" customHeight="1" x14ac:dyDescent="0.3">
      <c r="A72" s="65" t="s">
        <v>67</v>
      </c>
      <c r="B72" s="66">
        <v>130</v>
      </c>
      <c r="C72" s="66">
        <v>21</v>
      </c>
      <c r="D72" s="79" t="s">
        <v>68</v>
      </c>
      <c r="E72" s="79">
        <v>6</v>
      </c>
      <c r="F72" s="79">
        <v>5</v>
      </c>
      <c r="G72" s="79">
        <v>124.19</v>
      </c>
      <c r="H72" s="79">
        <v>15</v>
      </c>
      <c r="I72" s="79">
        <v>7.23</v>
      </c>
      <c r="J72" s="109">
        <v>2</v>
      </c>
      <c r="K72" s="68">
        <f t="shared" si="13"/>
        <v>2325053.6875799997</v>
      </c>
      <c r="L72" s="77" t="s">
        <v>47</v>
      </c>
      <c r="M72" s="68">
        <f t="shared" si="24"/>
        <v>2243676.8085146998</v>
      </c>
      <c r="N72" s="68">
        <f t="shared" si="14"/>
        <v>1943676.8085146998</v>
      </c>
      <c r="O72" s="68">
        <f t="shared" si="15"/>
        <v>2319961.8200041996</v>
      </c>
      <c r="P72" s="68">
        <f t="shared" si="16"/>
        <v>376285.01148949983</v>
      </c>
      <c r="Q72" s="68">
        <f t="shared" si="17"/>
        <v>1943676.8085146998</v>
      </c>
      <c r="R72" s="78" t="s">
        <v>69</v>
      </c>
      <c r="S72" s="109">
        <v>21</v>
      </c>
      <c r="T72" s="72">
        <f t="shared" si="18"/>
        <v>15</v>
      </c>
      <c r="U72" s="72">
        <f t="shared" si="19"/>
        <v>0</v>
      </c>
      <c r="V72" s="73">
        <f t="shared" si="20"/>
        <v>0</v>
      </c>
      <c r="W72" s="73">
        <f t="shared" si="21"/>
        <v>0</v>
      </c>
      <c r="X72" s="68">
        <f t="shared" si="22"/>
        <v>465010.73751599994</v>
      </c>
      <c r="Y72" s="74">
        <f t="shared" si="23"/>
        <v>300000</v>
      </c>
      <c r="Z72" s="62">
        <f t="array" ref="Z72">_xlfn.IFS(AND(F72=3,G72&gt;90),(90*1)+((G72-90)*0.15),AND(F72=3.5,G72&gt;100),(100*1)+((G72-100)*0.15),AND(F72=4,G72&gt;110),(110*1)+((G72-110)*0.15),AND(F72=4.5,G72&gt;120),(120*1)+((G72-120)*0.15),AND(F72=5,G72&gt;125),(125*1)+((G72-125)*0.15),AND(F72=5.5,G72&gt;135),(135*1)+((G72-135)*0.15),AND(F72=6,G72&gt;145),(145*1)+((G72-145)*0.15),TRUE(),G72)</f>
        <v>124.19</v>
      </c>
      <c r="AA72" s="63">
        <v>-3.5000000000000003E-2</v>
      </c>
      <c r="AD72" s="138" t="s">
        <v>54</v>
      </c>
      <c r="AE72" s="64" t="b">
        <f t="shared" si="25"/>
        <v>0</v>
      </c>
      <c r="AI72" s="64" t="e">
        <f>L72='[1]מחיר מטרה-שקבלתי מאסתר'!L72</f>
        <v>#REF!</v>
      </c>
    </row>
    <row r="73" spans="1:35" ht="14.25" customHeight="1" x14ac:dyDescent="0.3">
      <c r="A73" s="65" t="s">
        <v>67</v>
      </c>
      <c r="B73" s="66">
        <v>130</v>
      </c>
      <c r="C73" s="66">
        <v>22</v>
      </c>
      <c r="D73" s="67" t="s">
        <v>73</v>
      </c>
      <c r="E73" s="67">
        <v>6</v>
      </c>
      <c r="F73" s="67">
        <v>4</v>
      </c>
      <c r="G73" s="67">
        <v>113.37</v>
      </c>
      <c r="H73" s="67">
        <v>14.77</v>
      </c>
      <c r="I73" s="67">
        <v>6.27</v>
      </c>
      <c r="J73" s="109">
        <v>1</v>
      </c>
      <c r="K73" s="68">
        <f t="shared" si="13"/>
        <v>2048316.7027049996</v>
      </c>
      <c r="L73" s="79" t="s">
        <v>54</v>
      </c>
      <c r="M73" s="68">
        <f t="shared" si="24"/>
        <v>1976625.6181103245</v>
      </c>
      <c r="N73" s="68">
        <f t="shared" si="14"/>
        <v>1676625.6181103245</v>
      </c>
      <c r="O73" s="68">
        <f t="shared" si="15"/>
        <v>2043830.8891260757</v>
      </c>
      <c r="P73" s="68">
        <f t="shared" si="16"/>
        <v>367205.27101575118</v>
      </c>
      <c r="Q73" s="68">
        <f t="shared" si="17"/>
        <v>1676625.6181103245</v>
      </c>
      <c r="R73" s="137" t="s">
        <v>69</v>
      </c>
      <c r="S73" s="109">
        <v>22</v>
      </c>
      <c r="T73" s="72">
        <f t="shared" si="18"/>
        <v>14.77</v>
      </c>
      <c r="U73" s="72">
        <f t="shared" si="19"/>
        <v>0</v>
      </c>
      <c r="V73" s="73">
        <f t="shared" si="20"/>
        <v>0</v>
      </c>
      <c r="W73" s="73">
        <f t="shared" si="21"/>
        <v>0</v>
      </c>
      <c r="X73" s="68">
        <f t="shared" si="22"/>
        <v>409663.34054099995</v>
      </c>
      <c r="Y73" s="74">
        <f t="shared" si="23"/>
        <v>300000</v>
      </c>
      <c r="Z73" s="62">
        <f t="array" ref="Z73">_xlfn.IFS(AND(F73=3,G73&gt;90),(90*1)+((G73-90)*0.15),AND(F73=3.5,G73&gt;100),(100*1)+((G73-100)*0.15),AND(F73=4,G73&gt;110),(110*1)+((G73-110)*0.15),AND(F73=4.5,G73&gt;120),(120*1)+((G73-120)*0.15),AND(F73=5,G73&gt;125),(125*1)+((G73-125)*0.15),AND(F73=5.5,G73&gt;135),(135*1)+((G73-135)*0.15),AND(F73=6,G73&gt;145),(145*1)+((G73-145)*0.15),TRUE(),G73)</f>
        <v>110.5055</v>
      </c>
      <c r="AA73" s="63">
        <v>-3.5000000000000003E-2</v>
      </c>
      <c r="AD73" s="136" t="s">
        <v>47</v>
      </c>
      <c r="AE73" s="64" t="b">
        <f t="shared" si="25"/>
        <v>0</v>
      </c>
      <c r="AI73" s="64" t="e">
        <f>L73='[1]מחיר מטרה-שקבלתי מאסתר'!L73</f>
        <v>#REF!</v>
      </c>
    </row>
    <row r="74" spans="1:35" ht="15.6" x14ac:dyDescent="0.3">
      <c r="A74" s="65" t="s">
        <v>67</v>
      </c>
      <c r="B74" s="66">
        <v>130</v>
      </c>
      <c r="C74" s="66">
        <v>23</v>
      </c>
      <c r="D74" s="79" t="s">
        <v>71</v>
      </c>
      <c r="E74" s="79">
        <v>6</v>
      </c>
      <c r="F74" s="67">
        <v>4</v>
      </c>
      <c r="G74" s="79">
        <v>103.79</v>
      </c>
      <c r="H74" s="79">
        <v>14.98</v>
      </c>
      <c r="I74" s="79">
        <v>6.51</v>
      </c>
      <c r="J74" s="109">
        <v>1</v>
      </c>
      <c r="K74" s="68">
        <f t="shared" si="13"/>
        <v>1935881.31672</v>
      </c>
      <c r="L74" s="79" t="s">
        <v>54</v>
      </c>
      <c r="M74" s="68">
        <f t="shared" si="24"/>
        <v>1868125.4706347999</v>
      </c>
      <c r="N74" s="68">
        <f t="shared" si="14"/>
        <v>1568125.4706347999</v>
      </c>
      <c r="O74" s="68">
        <f t="shared" si="15"/>
        <v>1931641.7366363832</v>
      </c>
      <c r="P74" s="68">
        <f t="shared" si="16"/>
        <v>363516.26600158331</v>
      </c>
      <c r="Q74" s="68">
        <f t="shared" si="17"/>
        <v>1568125.4706347999</v>
      </c>
      <c r="R74" s="137" t="s">
        <v>69</v>
      </c>
      <c r="S74" s="109">
        <v>23</v>
      </c>
      <c r="T74" s="72">
        <f t="shared" si="18"/>
        <v>14.98</v>
      </c>
      <c r="U74" s="72">
        <f t="shared" si="19"/>
        <v>0</v>
      </c>
      <c r="V74" s="73">
        <f t="shared" si="20"/>
        <v>0</v>
      </c>
      <c r="W74" s="73">
        <f t="shared" si="21"/>
        <v>0</v>
      </c>
      <c r="X74" s="68">
        <f t="shared" si="22"/>
        <v>387176.26334400004</v>
      </c>
      <c r="Y74" s="74">
        <f t="shared" si="23"/>
        <v>300000</v>
      </c>
      <c r="Z74" s="62">
        <f t="array" ref="Z74">_xlfn.IFS(AND(F74=3,G74&gt;90),(90*1)+((G74-90)*0.15),AND(F74=3.5,G74&gt;100),(100*1)+((G74-100)*0.15),AND(F74=4,G74&gt;110),(110*1)+((G74-110)*0.15),AND(F74=4.5,G74&gt;120),(120*1)+((G74-120)*0.15),AND(F74=5,G74&gt;125),(125*1)+((G74-125)*0.15),AND(F74=5.5,G74&gt;135),(135*1)+((G74-135)*0.15),AND(F74=6,G74&gt;145),(145*1)+((G74-145)*0.15),TRUE(),G74)</f>
        <v>103.79</v>
      </c>
      <c r="AA74" s="63">
        <v>-3.5000000000000003E-2</v>
      </c>
      <c r="AD74" s="136" t="s">
        <v>47</v>
      </c>
      <c r="AE74" s="64" t="b">
        <f t="shared" si="25"/>
        <v>0</v>
      </c>
      <c r="AI74" s="64" t="e">
        <f>L74='[1]מחיר מטרה-שקבלתי מאסתר'!L74</f>
        <v>#REF!</v>
      </c>
    </row>
    <row r="75" spans="1:35" ht="14.25" customHeight="1" x14ac:dyDescent="0.3">
      <c r="A75" s="65" t="s">
        <v>67</v>
      </c>
      <c r="B75" s="66">
        <v>130</v>
      </c>
      <c r="C75" s="66">
        <v>24</v>
      </c>
      <c r="D75" s="79" t="s">
        <v>72</v>
      </c>
      <c r="E75" s="79">
        <v>6</v>
      </c>
      <c r="F75" s="67">
        <v>3</v>
      </c>
      <c r="G75" s="79">
        <v>84.76</v>
      </c>
      <c r="H75" s="79">
        <v>12</v>
      </c>
      <c r="I75" s="79">
        <v>6.69</v>
      </c>
      <c r="J75" s="109">
        <v>1</v>
      </c>
      <c r="K75" s="68">
        <f t="shared" si="13"/>
        <v>1595445.52284</v>
      </c>
      <c r="L75" s="79" t="s">
        <v>54</v>
      </c>
      <c r="M75" s="68">
        <f t="shared" si="24"/>
        <v>1539604.9295405999</v>
      </c>
      <c r="N75" s="68">
        <f t="shared" si="14"/>
        <v>1239604.9295405999</v>
      </c>
      <c r="O75" s="68">
        <f t="shared" si="15"/>
        <v>1591951.4971449804</v>
      </c>
      <c r="P75" s="68">
        <f t="shared" si="16"/>
        <v>352346.56760438043</v>
      </c>
      <c r="Q75" s="68">
        <f t="shared" si="17"/>
        <v>1239604.9295405999</v>
      </c>
      <c r="R75" s="137" t="s">
        <v>69</v>
      </c>
      <c r="S75" s="109">
        <v>24</v>
      </c>
      <c r="T75" s="72">
        <f t="shared" si="18"/>
        <v>12</v>
      </c>
      <c r="U75" s="72">
        <f t="shared" si="19"/>
        <v>0</v>
      </c>
      <c r="V75" s="73">
        <f t="shared" si="20"/>
        <v>0</v>
      </c>
      <c r="W75" s="73">
        <f t="shared" si="21"/>
        <v>0</v>
      </c>
      <c r="X75" s="68">
        <f t="shared" si="22"/>
        <v>319089.10456800001</v>
      </c>
      <c r="Y75" s="74">
        <f t="shared" si="23"/>
        <v>300000</v>
      </c>
      <c r="Z75" s="62">
        <f t="array" ref="Z75">_xlfn.IFS(AND(F75=3,G75&gt;90),(90*1)+((G75-90)*0.15),AND(F75=3.5,G75&gt;100),(100*1)+((G75-100)*0.15),AND(F75=4,G75&gt;110),(110*1)+((G75-110)*0.15),AND(F75=4.5,G75&gt;120),(120*1)+((G75-120)*0.15),AND(F75=5,G75&gt;125),(125*1)+((G75-125)*0.15),AND(F75=5.5,G75&gt;135),(135*1)+((G75-135)*0.15),AND(F75=6,G75&gt;145),(145*1)+((G75-145)*0.15),TRUE(),G75)</f>
        <v>84.76</v>
      </c>
      <c r="AA75" s="63">
        <v>-3.5000000000000003E-2</v>
      </c>
      <c r="AD75" s="136" t="s">
        <v>47</v>
      </c>
      <c r="AE75" s="64" t="b">
        <f t="shared" si="25"/>
        <v>0</v>
      </c>
      <c r="AI75" s="64" t="e">
        <f>L75='[1]מחיר מטרה-שקבלתי מאסתר'!L75</f>
        <v>#REF!</v>
      </c>
    </row>
    <row r="76" spans="1:35" ht="14.25" customHeight="1" x14ac:dyDescent="0.3">
      <c r="A76" s="65" t="s">
        <v>67</v>
      </c>
      <c r="B76" s="66">
        <v>130</v>
      </c>
      <c r="C76" s="66">
        <v>25</v>
      </c>
      <c r="D76" s="79" t="s">
        <v>68</v>
      </c>
      <c r="E76" s="79">
        <v>7</v>
      </c>
      <c r="F76" s="79">
        <v>5</v>
      </c>
      <c r="G76" s="79">
        <v>124.19</v>
      </c>
      <c r="H76" s="79">
        <v>15</v>
      </c>
      <c r="I76" s="79">
        <v>7.23</v>
      </c>
      <c r="J76" s="109">
        <v>2</v>
      </c>
      <c r="K76" s="68">
        <f t="shared" ref="K76:K107" si="26">(SUMPRODUCT(H76:J76,$H$10:$J$10)+$G$10*Z76+SUMPRODUCT(T76:W76,$T$10:$W$10))*$K$8</f>
        <v>2325053.6875799997</v>
      </c>
      <c r="L76" s="69" t="s">
        <v>47</v>
      </c>
      <c r="M76" s="68">
        <f t="shared" si="24"/>
        <v>2255302.0769525995</v>
      </c>
      <c r="N76" s="68">
        <f t="shared" ref="N76:N107" si="27">M76-Y76</f>
        <v>1955302.0769525995</v>
      </c>
      <c r="O76" s="68">
        <f t="shared" ref="O76:O107" si="28">M76*(1+$K$9)</f>
        <v>2331982.3475689879</v>
      </c>
      <c r="P76" s="68">
        <f t="shared" ref="P76:P107" si="29">O76-N76</f>
        <v>376680.27061638841</v>
      </c>
      <c r="Q76" s="68">
        <f t="shared" ref="Q76:Q107" si="30">IF(P76&lt;500000,N76,P76-500000+N76)</f>
        <v>1955302.0769525995</v>
      </c>
      <c r="R76" s="137" t="s">
        <v>69</v>
      </c>
      <c r="S76" s="109">
        <v>25</v>
      </c>
      <c r="T76" s="72">
        <f t="shared" ref="T76:T107" si="31">IF((H76)&gt;30,30,(H76))</f>
        <v>15</v>
      </c>
      <c r="U76" s="72">
        <f t="shared" ref="U76:U107" si="32">IF((H76-T76)&gt;30,30,(H76-T76))</f>
        <v>0</v>
      </c>
      <c r="V76" s="73">
        <f t="shared" ref="V76:V107" si="33">IF((H76)&gt;120,60,(H76-T76-U76))</f>
        <v>0</v>
      </c>
      <c r="W76" s="73">
        <f t="shared" ref="W76:W107" si="34">IF((H76)&gt;120,(H76-120),0)</f>
        <v>0</v>
      </c>
      <c r="X76" s="68">
        <f t="shared" ref="X76:X107" si="35">K76*0.2</f>
        <v>465010.73751599994</v>
      </c>
      <c r="Y76" s="74">
        <f t="shared" ref="Y76:Y107" si="36">IF(X76&gt;300000,300000,X76)</f>
        <v>300000</v>
      </c>
      <c r="Z76" s="62">
        <f t="array" ref="Z76">_xlfn.IFS(AND(F76=3,G76&gt;90),(90*1)+((G76-90)*0.15),AND(F76=3.5,G76&gt;100),(100*1)+((G76-100)*0.15),AND(F76=4,G76&gt;110),(110*1)+((G76-110)*0.15),AND(F76=4.5,G76&gt;120),(120*1)+((G76-120)*0.15),AND(F76=5,G76&gt;125),(125*1)+((G76-125)*0.15),AND(F76=5.5,G76&gt;135),(135*1)+((G76-135)*0.15),AND(F76=6,G76&gt;145),(145*1)+((G76-145)*0.15),TRUE(),G76)</f>
        <v>124.19</v>
      </c>
      <c r="AA76" s="63">
        <v>-0.03</v>
      </c>
      <c r="AD76" s="138" t="s">
        <v>54</v>
      </c>
      <c r="AE76" s="64" t="b">
        <f t="shared" si="25"/>
        <v>0</v>
      </c>
      <c r="AI76" s="64" t="e">
        <f>L76='[1]מחיר מטרה-שקבלתי מאסתר'!L76</f>
        <v>#REF!</v>
      </c>
    </row>
    <row r="77" spans="1:35" ht="14.25" customHeight="1" x14ac:dyDescent="0.3">
      <c r="A77" s="65" t="s">
        <v>67</v>
      </c>
      <c r="B77" s="66">
        <v>130</v>
      </c>
      <c r="C77" s="66">
        <v>26</v>
      </c>
      <c r="D77" s="67" t="s">
        <v>70</v>
      </c>
      <c r="E77" s="67">
        <v>7</v>
      </c>
      <c r="F77" s="67">
        <v>4</v>
      </c>
      <c r="G77" s="67">
        <v>113.37</v>
      </c>
      <c r="H77" s="67">
        <v>19.38</v>
      </c>
      <c r="I77" s="67">
        <v>6.27</v>
      </c>
      <c r="J77" s="109">
        <v>1</v>
      </c>
      <c r="K77" s="68">
        <f t="shared" si="26"/>
        <v>2072033.3409749996</v>
      </c>
      <c r="L77" s="79" t="s">
        <v>54</v>
      </c>
      <c r="M77" s="68">
        <f t="shared" si="24"/>
        <v>2009872.3407457497</v>
      </c>
      <c r="N77" s="68">
        <f t="shared" si="27"/>
        <v>1709872.3407457497</v>
      </c>
      <c r="O77" s="68">
        <f t="shared" si="28"/>
        <v>2078208.0003311052</v>
      </c>
      <c r="P77" s="68">
        <f t="shared" si="29"/>
        <v>368335.65958535555</v>
      </c>
      <c r="Q77" s="68">
        <f t="shared" si="30"/>
        <v>1709872.3407457497</v>
      </c>
      <c r="R77" s="137" t="s">
        <v>69</v>
      </c>
      <c r="S77" s="109">
        <v>26</v>
      </c>
      <c r="T77" s="72">
        <f t="shared" si="31"/>
        <v>19.38</v>
      </c>
      <c r="U77" s="72">
        <f t="shared" si="32"/>
        <v>0</v>
      </c>
      <c r="V77" s="73">
        <f t="shared" si="33"/>
        <v>0</v>
      </c>
      <c r="W77" s="73">
        <f t="shared" si="34"/>
        <v>0</v>
      </c>
      <c r="X77" s="68">
        <f t="shared" si="35"/>
        <v>414406.66819499992</v>
      </c>
      <c r="Y77" s="74">
        <f t="shared" si="36"/>
        <v>300000</v>
      </c>
      <c r="Z77" s="62">
        <f t="array" ref="Z77">_xlfn.IFS(AND(F77=3,G77&gt;90),(90*1)+((G77-90)*0.15),AND(F77=3.5,G77&gt;100),(100*1)+((G77-100)*0.15),AND(F77=4,G77&gt;110),(110*1)+((G77-110)*0.15),AND(F77=4.5,G77&gt;120),(120*1)+((G77-120)*0.15),AND(F77=5,G77&gt;125),(125*1)+((G77-125)*0.15),AND(F77=5.5,G77&gt;135),(135*1)+((G77-135)*0.15),AND(F77=6,G77&gt;145),(145*1)+((G77-145)*0.15),TRUE(),G77)</f>
        <v>110.5055</v>
      </c>
      <c r="AA77" s="63">
        <v>-0.03</v>
      </c>
      <c r="AD77" s="138" t="s">
        <v>54</v>
      </c>
      <c r="AE77" s="64" t="b">
        <f t="shared" si="25"/>
        <v>1</v>
      </c>
      <c r="AI77" s="64" t="e">
        <f>L77='[1]מחיר מטרה-שקבלתי מאסתר'!L77</f>
        <v>#REF!</v>
      </c>
    </row>
    <row r="78" spans="1:35" ht="14.25" customHeight="1" x14ac:dyDescent="0.3">
      <c r="A78" s="65" t="s">
        <v>67</v>
      </c>
      <c r="B78" s="66">
        <v>130</v>
      </c>
      <c r="C78" s="66">
        <v>27</v>
      </c>
      <c r="D78" s="79" t="s">
        <v>71</v>
      </c>
      <c r="E78" s="79">
        <v>7</v>
      </c>
      <c r="F78" s="67">
        <v>4</v>
      </c>
      <c r="G78" s="79">
        <v>103.79</v>
      </c>
      <c r="H78" s="79">
        <v>14.98</v>
      </c>
      <c r="I78" s="79">
        <v>6.51</v>
      </c>
      <c r="J78" s="109">
        <v>1</v>
      </c>
      <c r="K78" s="68">
        <f t="shared" si="26"/>
        <v>1935881.31672</v>
      </c>
      <c r="L78" s="79" t="s">
        <v>54</v>
      </c>
      <c r="M78" s="68">
        <f t="shared" si="24"/>
        <v>1877804.8772183999</v>
      </c>
      <c r="N78" s="68">
        <f t="shared" si="27"/>
        <v>1577804.8772183999</v>
      </c>
      <c r="O78" s="68">
        <f t="shared" si="28"/>
        <v>1941650.2430438255</v>
      </c>
      <c r="P78" s="68">
        <f t="shared" si="29"/>
        <v>363845.3658254256</v>
      </c>
      <c r="Q78" s="68">
        <f t="shared" si="30"/>
        <v>1577804.8772183999</v>
      </c>
      <c r="R78" s="137" t="s">
        <v>69</v>
      </c>
      <c r="S78" s="109">
        <v>27</v>
      </c>
      <c r="T78" s="72">
        <f t="shared" si="31"/>
        <v>14.98</v>
      </c>
      <c r="U78" s="72">
        <f t="shared" si="32"/>
        <v>0</v>
      </c>
      <c r="V78" s="73">
        <f t="shared" si="33"/>
        <v>0</v>
      </c>
      <c r="W78" s="73">
        <f t="shared" si="34"/>
        <v>0</v>
      </c>
      <c r="X78" s="68">
        <f t="shared" si="35"/>
        <v>387176.26334400004</v>
      </c>
      <c r="Y78" s="74">
        <f t="shared" si="36"/>
        <v>300000</v>
      </c>
      <c r="Z78" s="62">
        <f t="array" ref="Z78">_xlfn.IFS(AND(F78=3,G78&gt;90),(90*1)+((G78-90)*0.15),AND(F78=3.5,G78&gt;100),(100*1)+((G78-100)*0.15),AND(F78=4,G78&gt;110),(110*1)+((G78-110)*0.15),AND(F78=4.5,G78&gt;120),(120*1)+((G78-120)*0.15),AND(F78=5,G78&gt;125),(125*1)+((G78-125)*0.15),AND(F78=5.5,G78&gt;135),(135*1)+((G78-135)*0.15),AND(F78=6,G78&gt;145),(145*1)+((G78-145)*0.15),TRUE(),G78)</f>
        <v>103.79</v>
      </c>
      <c r="AA78" s="63">
        <v>-0.03</v>
      </c>
      <c r="AD78" s="136" t="s">
        <v>47</v>
      </c>
      <c r="AE78" s="64" t="b">
        <f t="shared" si="25"/>
        <v>0</v>
      </c>
      <c r="AI78" s="64" t="e">
        <f>L78='[1]מחיר מטרה-שקבלתי מאסתר'!L78</f>
        <v>#REF!</v>
      </c>
    </row>
    <row r="79" spans="1:35" ht="14.25" customHeight="1" x14ac:dyDescent="0.3">
      <c r="A79" s="65" t="s">
        <v>67</v>
      </c>
      <c r="B79" s="66">
        <v>130</v>
      </c>
      <c r="C79" s="66">
        <v>28</v>
      </c>
      <c r="D79" s="79" t="s">
        <v>72</v>
      </c>
      <c r="E79" s="79">
        <v>7</v>
      </c>
      <c r="F79" s="67">
        <v>3</v>
      </c>
      <c r="G79" s="79">
        <v>84.76</v>
      </c>
      <c r="H79" s="79">
        <v>12</v>
      </c>
      <c r="I79" s="79">
        <v>6.69</v>
      </c>
      <c r="J79" s="109">
        <v>1</v>
      </c>
      <c r="K79" s="68">
        <f t="shared" si="26"/>
        <v>1595445.52284</v>
      </c>
      <c r="L79" s="79" t="s">
        <v>54</v>
      </c>
      <c r="M79" s="68">
        <f t="shared" si="24"/>
        <v>1547582.1571547999</v>
      </c>
      <c r="N79" s="68">
        <f t="shared" si="27"/>
        <v>1247582.1571547999</v>
      </c>
      <c r="O79" s="68">
        <f t="shared" si="28"/>
        <v>1600199.9504980631</v>
      </c>
      <c r="P79" s="68">
        <f t="shared" si="29"/>
        <v>352617.79334326321</v>
      </c>
      <c r="Q79" s="68">
        <f t="shared" si="30"/>
        <v>1247582.1571547999</v>
      </c>
      <c r="R79" s="137" t="s">
        <v>69</v>
      </c>
      <c r="S79" s="109">
        <v>28</v>
      </c>
      <c r="T79" s="72">
        <f t="shared" si="31"/>
        <v>12</v>
      </c>
      <c r="U79" s="72">
        <f t="shared" si="32"/>
        <v>0</v>
      </c>
      <c r="V79" s="73">
        <f t="shared" si="33"/>
        <v>0</v>
      </c>
      <c r="W79" s="73">
        <f t="shared" si="34"/>
        <v>0</v>
      </c>
      <c r="X79" s="68">
        <f t="shared" si="35"/>
        <v>319089.10456800001</v>
      </c>
      <c r="Y79" s="74">
        <f t="shared" si="36"/>
        <v>300000</v>
      </c>
      <c r="Z79" s="62">
        <f t="array" ref="Z79">_xlfn.IFS(AND(F79=3,G79&gt;90),(90*1)+((G79-90)*0.15),AND(F79=3.5,G79&gt;100),(100*1)+((G79-100)*0.15),AND(F79=4,G79&gt;110),(110*1)+((G79-110)*0.15),AND(F79=4.5,G79&gt;120),(120*1)+((G79-120)*0.15),AND(F79=5,G79&gt;125),(125*1)+((G79-125)*0.15),AND(F79=5.5,G79&gt;135),(135*1)+((G79-135)*0.15),AND(F79=6,G79&gt;145),(145*1)+((G79-145)*0.15),TRUE(),G79)</f>
        <v>84.76</v>
      </c>
      <c r="AA79" s="63">
        <v>-0.03</v>
      </c>
      <c r="AD79" s="136" t="s">
        <v>47</v>
      </c>
      <c r="AE79" s="64" t="b">
        <f t="shared" si="25"/>
        <v>0</v>
      </c>
      <c r="AI79" s="64" t="e">
        <f>L79='[1]מחיר מטרה-שקבלתי מאסתר'!L79</f>
        <v>#REF!</v>
      </c>
    </row>
    <row r="80" spans="1:35" ht="14.25" customHeight="1" x14ac:dyDescent="0.3">
      <c r="A80" s="65" t="s">
        <v>67</v>
      </c>
      <c r="B80" s="66">
        <v>130</v>
      </c>
      <c r="C80" s="66">
        <v>29</v>
      </c>
      <c r="D80" s="79" t="s">
        <v>68</v>
      </c>
      <c r="E80" s="79">
        <v>8</v>
      </c>
      <c r="F80" s="79">
        <v>5</v>
      </c>
      <c r="G80" s="79">
        <v>124.19</v>
      </c>
      <c r="H80" s="79">
        <v>15</v>
      </c>
      <c r="I80" s="79">
        <v>7.23</v>
      </c>
      <c r="J80" s="109">
        <v>2</v>
      </c>
      <c r="K80" s="68">
        <f t="shared" si="26"/>
        <v>2325053.6875799997</v>
      </c>
      <c r="L80" s="69" t="s">
        <v>47</v>
      </c>
      <c r="M80" s="68">
        <f t="shared" si="24"/>
        <v>2266927.3453904996</v>
      </c>
      <c r="N80" s="68">
        <f t="shared" si="27"/>
        <v>1966927.3453904996</v>
      </c>
      <c r="O80" s="68">
        <f t="shared" si="28"/>
        <v>2344002.8751337766</v>
      </c>
      <c r="P80" s="68">
        <f t="shared" si="29"/>
        <v>377075.529743277</v>
      </c>
      <c r="Q80" s="68">
        <f t="shared" si="30"/>
        <v>1966927.3453904996</v>
      </c>
      <c r="R80" s="137" t="s">
        <v>69</v>
      </c>
      <c r="S80" s="109">
        <v>29</v>
      </c>
      <c r="T80" s="72">
        <f t="shared" si="31"/>
        <v>15</v>
      </c>
      <c r="U80" s="72">
        <f t="shared" si="32"/>
        <v>0</v>
      </c>
      <c r="V80" s="73">
        <f t="shared" si="33"/>
        <v>0</v>
      </c>
      <c r="W80" s="73">
        <f t="shared" si="34"/>
        <v>0</v>
      </c>
      <c r="X80" s="68">
        <f t="shared" si="35"/>
        <v>465010.73751599994</v>
      </c>
      <c r="Y80" s="74">
        <f t="shared" si="36"/>
        <v>300000</v>
      </c>
      <c r="Z80" s="62">
        <f t="array" ref="Z80">_xlfn.IFS(AND(F80=3,G80&gt;90),(90*1)+((G80-90)*0.15),AND(F80=3.5,G80&gt;100),(100*1)+((G80-100)*0.15),AND(F80=4,G80&gt;110),(110*1)+((G80-110)*0.15),AND(F80=4.5,G80&gt;120),(120*1)+((G80-120)*0.15),AND(F80=5,G80&gt;125),(125*1)+((G80-125)*0.15),AND(F80=5.5,G80&gt;135),(135*1)+((G80-135)*0.15),AND(F80=6,G80&gt;145),(145*1)+((G80-145)*0.15),TRUE(),G80)</f>
        <v>124.19</v>
      </c>
      <c r="AA80" s="63">
        <v>-2.5000000000000001E-2</v>
      </c>
      <c r="AD80" s="138" t="s">
        <v>54</v>
      </c>
      <c r="AE80" s="64" t="b">
        <f t="shared" si="25"/>
        <v>0</v>
      </c>
      <c r="AI80" s="64" t="e">
        <f>L80='[1]מחיר מטרה-שקבלתי מאסתר'!L80</f>
        <v>#REF!</v>
      </c>
    </row>
    <row r="81" spans="1:35" ht="14.25" customHeight="1" x14ac:dyDescent="0.3">
      <c r="A81" s="65" t="s">
        <v>67</v>
      </c>
      <c r="B81" s="66">
        <v>130</v>
      </c>
      <c r="C81" s="66">
        <v>30</v>
      </c>
      <c r="D81" s="67" t="s">
        <v>73</v>
      </c>
      <c r="E81" s="67">
        <v>8</v>
      </c>
      <c r="F81" s="67">
        <v>4</v>
      </c>
      <c r="G81" s="67">
        <v>113.37</v>
      </c>
      <c r="H81" s="67">
        <v>14.77</v>
      </c>
      <c r="I81" s="67">
        <v>6.27</v>
      </c>
      <c r="J81" s="109">
        <v>1</v>
      </c>
      <c r="K81" s="68">
        <f t="shared" si="26"/>
        <v>2048316.7027049996</v>
      </c>
      <c r="L81" s="79" t="s">
        <v>54</v>
      </c>
      <c r="M81" s="68">
        <f t="shared" si="24"/>
        <v>1997108.7851373747</v>
      </c>
      <c r="N81" s="68">
        <f t="shared" si="27"/>
        <v>1697108.7851373747</v>
      </c>
      <c r="O81" s="68">
        <f t="shared" si="28"/>
        <v>2065010.4838320455</v>
      </c>
      <c r="P81" s="68">
        <f t="shared" si="29"/>
        <v>367901.69869467081</v>
      </c>
      <c r="Q81" s="68">
        <f t="shared" si="30"/>
        <v>1697108.7851373747</v>
      </c>
      <c r="R81" s="137" t="s">
        <v>69</v>
      </c>
      <c r="S81" s="109">
        <v>30</v>
      </c>
      <c r="T81" s="72">
        <f t="shared" si="31"/>
        <v>14.77</v>
      </c>
      <c r="U81" s="72">
        <f t="shared" si="32"/>
        <v>0</v>
      </c>
      <c r="V81" s="73">
        <f t="shared" si="33"/>
        <v>0</v>
      </c>
      <c r="W81" s="73">
        <f t="shared" si="34"/>
        <v>0</v>
      </c>
      <c r="X81" s="68">
        <f t="shared" si="35"/>
        <v>409663.34054099995</v>
      </c>
      <c r="Y81" s="74">
        <f t="shared" si="36"/>
        <v>300000</v>
      </c>
      <c r="Z81" s="62">
        <f t="array" ref="Z81">_xlfn.IFS(AND(F81=3,G81&gt;90),(90*1)+((G81-90)*0.15),AND(F81=3.5,G81&gt;100),(100*1)+((G81-100)*0.15),AND(F81=4,G81&gt;110),(110*1)+((G81-110)*0.15),AND(F81=4.5,G81&gt;120),(120*1)+((G81-120)*0.15),AND(F81=5,G81&gt;125),(125*1)+((G81-125)*0.15),AND(F81=5.5,G81&gt;135),(135*1)+((G81-135)*0.15),AND(F81=6,G81&gt;145),(145*1)+((G81-145)*0.15),TRUE(),G81)</f>
        <v>110.5055</v>
      </c>
      <c r="AA81" s="63">
        <v>-2.5000000000000001E-2</v>
      </c>
      <c r="AD81" s="138" t="s">
        <v>54</v>
      </c>
      <c r="AE81" s="64" t="b">
        <f t="shared" si="25"/>
        <v>1</v>
      </c>
      <c r="AI81" s="64" t="e">
        <f>L81='[1]מחיר מטרה-שקבלתי מאסתר'!L81</f>
        <v>#REF!</v>
      </c>
    </row>
    <row r="82" spans="1:35" ht="14.25" customHeight="1" x14ac:dyDescent="0.3">
      <c r="A82" s="65" t="s">
        <v>67</v>
      </c>
      <c r="B82" s="66">
        <v>130</v>
      </c>
      <c r="C82" s="66">
        <v>31</v>
      </c>
      <c r="D82" s="79" t="s">
        <v>71</v>
      </c>
      <c r="E82" s="79">
        <v>8</v>
      </c>
      <c r="F82" s="67">
        <v>4</v>
      </c>
      <c r="G82" s="79">
        <v>103.79</v>
      </c>
      <c r="H82" s="79">
        <v>14.98</v>
      </c>
      <c r="I82" s="79">
        <v>6.51</v>
      </c>
      <c r="J82" s="109">
        <v>1</v>
      </c>
      <c r="K82" s="68">
        <f t="shared" si="26"/>
        <v>1935881.31672</v>
      </c>
      <c r="L82" s="79" t="s">
        <v>54</v>
      </c>
      <c r="M82" s="68">
        <f t="shared" si="24"/>
        <v>1887484.2838019999</v>
      </c>
      <c r="N82" s="68">
        <f t="shared" si="27"/>
        <v>1587484.2838019999</v>
      </c>
      <c r="O82" s="68">
        <f t="shared" si="28"/>
        <v>1951658.749451268</v>
      </c>
      <c r="P82" s="68">
        <f t="shared" si="29"/>
        <v>364174.46564926812</v>
      </c>
      <c r="Q82" s="68">
        <f t="shared" si="30"/>
        <v>1587484.2838019999</v>
      </c>
      <c r="R82" s="137" t="s">
        <v>69</v>
      </c>
      <c r="S82" s="109">
        <v>31</v>
      </c>
      <c r="T82" s="72">
        <f t="shared" si="31"/>
        <v>14.98</v>
      </c>
      <c r="U82" s="72">
        <f t="shared" si="32"/>
        <v>0</v>
      </c>
      <c r="V82" s="73">
        <f t="shared" si="33"/>
        <v>0</v>
      </c>
      <c r="W82" s="73">
        <f t="shared" si="34"/>
        <v>0</v>
      </c>
      <c r="X82" s="68">
        <f t="shared" si="35"/>
        <v>387176.26334400004</v>
      </c>
      <c r="Y82" s="74">
        <f t="shared" si="36"/>
        <v>300000</v>
      </c>
      <c r="Z82" s="62">
        <f t="array" ref="Z82">_xlfn.IFS(AND(F82=3,G82&gt;90),(90*1)+((G82-90)*0.15),AND(F82=3.5,G82&gt;100),(100*1)+((G82-100)*0.15),AND(F82=4,G82&gt;110),(110*1)+((G82-110)*0.15),AND(F82=4.5,G82&gt;120),(120*1)+((G82-120)*0.15),AND(F82=5,G82&gt;125),(125*1)+((G82-125)*0.15),AND(F82=5.5,G82&gt;135),(135*1)+((G82-135)*0.15),AND(F82=6,G82&gt;145),(145*1)+((G82-145)*0.15),TRUE(),G82)</f>
        <v>103.79</v>
      </c>
      <c r="AA82" s="63">
        <v>-2.5000000000000001E-2</v>
      </c>
      <c r="AD82" s="136" t="s">
        <v>47</v>
      </c>
      <c r="AE82" s="64" t="b">
        <f t="shared" si="25"/>
        <v>0</v>
      </c>
      <c r="AI82" s="64" t="e">
        <f>L82='[1]מחיר מטרה-שקבלתי מאסתר'!L82</f>
        <v>#REF!</v>
      </c>
    </row>
    <row r="83" spans="1:35" ht="14.25" customHeight="1" x14ac:dyDescent="0.3">
      <c r="A83" s="65" t="s">
        <v>67</v>
      </c>
      <c r="B83" s="66">
        <v>130</v>
      </c>
      <c r="C83" s="66">
        <v>32</v>
      </c>
      <c r="D83" s="79" t="s">
        <v>72</v>
      </c>
      <c r="E83" s="79">
        <v>8</v>
      </c>
      <c r="F83" s="67">
        <v>3</v>
      </c>
      <c r="G83" s="79">
        <v>84.76</v>
      </c>
      <c r="H83" s="79">
        <v>12</v>
      </c>
      <c r="I83" s="79">
        <v>6.69</v>
      </c>
      <c r="J83" s="109">
        <v>1</v>
      </c>
      <c r="K83" s="68">
        <f t="shared" si="26"/>
        <v>1595445.52284</v>
      </c>
      <c r="L83" s="79" t="s">
        <v>54</v>
      </c>
      <c r="M83" s="68">
        <f t="shared" si="24"/>
        <v>1555559.3847689999</v>
      </c>
      <c r="N83" s="68">
        <f t="shared" si="27"/>
        <v>1255559.3847689999</v>
      </c>
      <c r="O83" s="68">
        <f t="shared" si="28"/>
        <v>1608448.4038511459</v>
      </c>
      <c r="P83" s="68">
        <f t="shared" si="29"/>
        <v>352889.019082146</v>
      </c>
      <c r="Q83" s="68">
        <f t="shared" si="30"/>
        <v>1255559.3847689999</v>
      </c>
      <c r="R83" s="137" t="s">
        <v>69</v>
      </c>
      <c r="S83" s="109">
        <v>32</v>
      </c>
      <c r="T83" s="72">
        <f t="shared" si="31"/>
        <v>12</v>
      </c>
      <c r="U83" s="72">
        <f t="shared" si="32"/>
        <v>0</v>
      </c>
      <c r="V83" s="73">
        <f t="shared" si="33"/>
        <v>0</v>
      </c>
      <c r="W83" s="73">
        <f t="shared" si="34"/>
        <v>0</v>
      </c>
      <c r="X83" s="68">
        <f t="shared" si="35"/>
        <v>319089.10456800001</v>
      </c>
      <c r="Y83" s="74">
        <f t="shared" si="36"/>
        <v>300000</v>
      </c>
      <c r="Z83" s="62">
        <f t="array" ref="Z83">_xlfn.IFS(AND(F83=3,G83&gt;90),(90*1)+((G83-90)*0.15),AND(F83=3.5,G83&gt;100),(100*1)+((G83-100)*0.15),AND(F83=4,G83&gt;110),(110*1)+((G83-110)*0.15),AND(F83=4.5,G83&gt;120),(120*1)+((G83-120)*0.15),AND(F83=5,G83&gt;125),(125*1)+((G83-125)*0.15),AND(F83=5.5,G83&gt;135),(135*1)+((G83-135)*0.15),AND(F83=6,G83&gt;145),(145*1)+((G83-145)*0.15),TRUE(),G83)</f>
        <v>84.76</v>
      </c>
      <c r="AA83" s="63">
        <v>-2.5000000000000001E-2</v>
      </c>
      <c r="AD83" s="136" t="s">
        <v>47</v>
      </c>
      <c r="AE83" s="64" t="b">
        <f t="shared" si="25"/>
        <v>0</v>
      </c>
      <c r="AI83" s="64" t="e">
        <f>L83='[1]מחיר מטרה-שקבלתי מאסתר'!L83</f>
        <v>#REF!</v>
      </c>
    </row>
    <row r="84" spans="1:35" ht="14.25" customHeight="1" x14ac:dyDescent="0.3">
      <c r="A84" s="65" t="s">
        <v>67</v>
      </c>
      <c r="B84" s="66">
        <v>130</v>
      </c>
      <c r="C84" s="66">
        <v>33</v>
      </c>
      <c r="D84" s="79" t="s">
        <v>68</v>
      </c>
      <c r="E84" s="79">
        <v>9</v>
      </c>
      <c r="F84" s="79">
        <v>5</v>
      </c>
      <c r="G84" s="79">
        <v>124.19</v>
      </c>
      <c r="H84" s="79">
        <v>15</v>
      </c>
      <c r="I84" s="79">
        <v>7.23</v>
      </c>
      <c r="J84" s="109">
        <v>2</v>
      </c>
      <c r="K84" s="68">
        <f t="shared" si="26"/>
        <v>2325053.6875799997</v>
      </c>
      <c r="L84" s="69" t="s">
        <v>47</v>
      </c>
      <c r="M84" s="68">
        <f t="shared" ref="M84:M115" si="37">K84*(1+AA84)</f>
        <v>2278552.6138283997</v>
      </c>
      <c r="N84" s="68">
        <f t="shared" si="27"/>
        <v>1978552.6138283997</v>
      </c>
      <c r="O84" s="68">
        <f t="shared" si="28"/>
        <v>2356023.4026985653</v>
      </c>
      <c r="P84" s="68">
        <f t="shared" si="29"/>
        <v>377470.78887016559</v>
      </c>
      <c r="Q84" s="68">
        <f t="shared" si="30"/>
        <v>1978552.6138283997</v>
      </c>
      <c r="R84" s="137" t="s">
        <v>69</v>
      </c>
      <c r="S84" s="109">
        <v>33</v>
      </c>
      <c r="T84" s="72">
        <f t="shared" si="31"/>
        <v>15</v>
      </c>
      <c r="U84" s="72">
        <f t="shared" si="32"/>
        <v>0</v>
      </c>
      <c r="V84" s="73">
        <f t="shared" si="33"/>
        <v>0</v>
      </c>
      <c r="W84" s="73">
        <f t="shared" si="34"/>
        <v>0</v>
      </c>
      <c r="X84" s="68">
        <f t="shared" si="35"/>
        <v>465010.73751599994</v>
      </c>
      <c r="Y84" s="74">
        <f t="shared" si="36"/>
        <v>300000</v>
      </c>
      <c r="Z84" s="62">
        <f t="array" ref="Z84">_xlfn.IFS(AND(F84=3,G84&gt;90),(90*1)+((G84-90)*0.15),AND(F84=3.5,G84&gt;100),(100*1)+((G84-100)*0.15),AND(F84=4,G84&gt;110),(110*1)+((G84-110)*0.15),AND(F84=4.5,G84&gt;120),(120*1)+((G84-120)*0.15),AND(F84=5,G84&gt;125),(125*1)+((G84-125)*0.15),AND(F84=5.5,G84&gt;135),(135*1)+((G84-135)*0.15),AND(F84=6,G84&gt;145),(145*1)+((G84-145)*0.15),TRUE(),G84)</f>
        <v>124.19</v>
      </c>
      <c r="AA84" s="63">
        <v>-0.02</v>
      </c>
      <c r="AD84" s="138" t="s">
        <v>54</v>
      </c>
      <c r="AE84" s="64" t="b">
        <f t="shared" si="25"/>
        <v>0</v>
      </c>
      <c r="AI84" s="64" t="e">
        <f>L84='[1]מחיר מטרה-שקבלתי מאסתר'!L84</f>
        <v>#REF!</v>
      </c>
    </row>
    <row r="85" spans="1:35" ht="14.25" customHeight="1" x14ac:dyDescent="0.3">
      <c r="A85" s="65" t="s">
        <v>67</v>
      </c>
      <c r="B85" s="66">
        <v>130</v>
      </c>
      <c r="C85" s="66">
        <v>34</v>
      </c>
      <c r="D85" s="67" t="s">
        <v>70</v>
      </c>
      <c r="E85" s="67">
        <v>9</v>
      </c>
      <c r="F85" s="67">
        <v>4</v>
      </c>
      <c r="G85" s="67">
        <v>113.37</v>
      </c>
      <c r="H85" s="67">
        <v>19.38</v>
      </c>
      <c r="I85" s="67">
        <v>6.27</v>
      </c>
      <c r="J85" s="109">
        <v>1</v>
      </c>
      <c r="K85" s="68">
        <f t="shared" si="26"/>
        <v>2072033.3409749996</v>
      </c>
      <c r="L85" s="77" t="s">
        <v>47</v>
      </c>
      <c r="M85" s="68">
        <f t="shared" si="37"/>
        <v>2030592.6741554996</v>
      </c>
      <c r="N85" s="68">
        <f t="shared" si="27"/>
        <v>1730592.6741554996</v>
      </c>
      <c r="O85" s="68">
        <f t="shared" si="28"/>
        <v>2099632.8250767868</v>
      </c>
      <c r="P85" s="68">
        <f t="shared" si="29"/>
        <v>369040.15092128725</v>
      </c>
      <c r="Q85" s="68">
        <f t="shared" si="30"/>
        <v>1730592.6741554996</v>
      </c>
      <c r="R85" s="137" t="s">
        <v>69</v>
      </c>
      <c r="S85" s="109">
        <v>34</v>
      </c>
      <c r="T85" s="72">
        <f t="shared" si="31"/>
        <v>19.38</v>
      </c>
      <c r="U85" s="72">
        <f t="shared" si="32"/>
        <v>0</v>
      </c>
      <c r="V85" s="73">
        <f t="shared" si="33"/>
        <v>0</v>
      </c>
      <c r="W85" s="73">
        <f t="shared" si="34"/>
        <v>0</v>
      </c>
      <c r="X85" s="68">
        <f t="shared" si="35"/>
        <v>414406.66819499992</v>
      </c>
      <c r="Y85" s="74">
        <f t="shared" si="36"/>
        <v>300000</v>
      </c>
      <c r="Z85" s="62">
        <f t="array" ref="Z85">_xlfn.IFS(AND(F85=3,G85&gt;90),(90*1)+((G85-90)*0.15),AND(F85=3.5,G85&gt;100),(100*1)+((G85-100)*0.15),AND(F85=4,G85&gt;110),(110*1)+((G85-110)*0.15),AND(F85=4.5,G85&gt;120),(120*1)+((G85-120)*0.15),AND(F85=5,G85&gt;125),(125*1)+((G85-125)*0.15),AND(F85=5.5,G85&gt;135),(135*1)+((G85-135)*0.15),AND(F85=6,G85&gt;145),(145*1)+((G85-145)*0.15),TRUE(),G85)</f>
        <v>110.5055</v>
      </c>
      <c r="AA85" s="63">
        <v>-0.02</v>
      </c>
      <c r="AD85" s="138" t="s">
        <v>54</v>
      </c>
      <c r="AE85" s="64" t="b">
        <f t="shared" si="25"/>
        <v>0</v>
      </c>
      <c r="AI85" s="64" t="e">
        <f>L85='[1]מחיר מטרה-שקבלתי מאסתר'!L85</f>
        <v>#REF!</v>
      </c>
    </row>
    <row r="86" spans="1:35" ht="14.25" customHeight="1" x14ac:dyDescent="0.3">
      <c r="A86" s="65" t="s">
        <v>67</v>
      </c>
      <c r="B86" s="66">
        <v>130</v>
      </c>
      <c r="C86" s="66">
        <v>35</v>
      </c>
      <c r="D86" s="79" t="s">
        <v>71</v>
      </c>
      <c r="E86" s="79">
        <v>9</v>
      </c>
      <c r="F86" s="67">
        <v>4</v>
      </c>
      <c r="G86" s="79">
        <v>103.79</v>
      </c>
      <c r="H86" s="79">
        <v>14.98</v>
      </c>
      <c r="I86" s="79">
        <v>6.51</v>
      </c>
      <c r="J86" s="109">
        <v>1</v>
      </c>
      <c r="K86" s="68">
        <f t="shared" si="26"/>
        <v>1935881.31672</v>
      </c>
      <c r="L86" s="79" t="s">
        <v>54</v>
      </c>
      <c r="M86" s="68">
        <f t="shared" si="37"/>
        <v>1897163.6903855999</v>
      </c>
      <c r="N86" s="68">
        <f t="shared" si="27"/>
        <v>1597163.6903855999</v>
      </c>
      <c r="O86" s="68">
        <f t="shared" si="28"/>
        <v>1961667.2558587103</v>
      </c>
      <c r="P86" s="68">
        <f t="shared" si="29"/>
        <v>364503.56547311042</v>
      </c>
      <c r="Q86" s="68">
        <f t="shared" si="30"/>
        <v>1597163.6903855999</v>
      </c>
      <c r="R86" s="137" t="s">
        <v>69</v>
      </c>
      <c r="S86" s="109">
        <v>35</v>
      </c>
      <c r="T86" s="72">
        <f t="shared" si="31"/>
        <v>14.98</v>
      </c>
      <c r="U86" s="72">
        <f t="shared" si="32"/>
        <v>0</v>
      </c>
      <c r="V86" s="73">
        <f t="shared" si="33"/>
        <v>0</v>
      </c>
      <c r="W86" s="73">
        <f t="shared" si="34"/>
        <v>0</v>
      </c>
      <c r="X86" s="68">
        <f t="shared" si="35"/>
        <v>387176.26334400004</v>
      </c>
      <c r="Y86" s="74">
        <f t="shared" si="36"/>
        <v>300000</v>
      </c>
      <c r="Z86" s="62">
        <f t="array" ref="Z86">_xlfn.IFS(AND(F86=3,G86&gt;90),(90*1)+((G86-90)*0.15),AND(F86=3.5,G86&gt;100),(100*1)+((G86-100)*0.15),AND(F86=4,G86&gt;110),(110*1)+((G86-110)*0.15),AND(F86=4.5,G86&gt;120),(120*1)+((G86-120)*0.15),AND(F86=5,G86&gt;125),(125*1)+((G86-125)*0.15),AND(F86=5.5,G86&gt;135),(135*1)+((G86-135)*0.15),AND(F86=6,G86&gt;145),(145*1)+((G86-145)*0.15),TRUE(),G86)</f>
        <v>103.79</v>
      </c>
      <c r="AA86" s="63">
        <v>-0.02</v>
      </c>
      <c r="AD86" s="136" t="s">
        <v>47</v>
      </c>
      <c r="AE86" s="64" t="b">
        <f t="shared" ref="AE86:AE117" si="38">AD86=L86</f>
        <v>0</v>
      </c>
      <c r="AI86" s="64" t="e">
        <f>L86='[1]מחיר מטרה-שקבלתי מאסתר'!L86</f>
        <v>#REF!</v>
      </c>
    </row>
    <row r="87" spans="1:35" ht="14.25" customHeight="1" x14ac:dyDescent="0.3">
      <c r="A87" s="65" t="s">
        <v>67</v>
      </c>
      <c r="B87" s="66">
        <v>130</v>
      </c>
      <c r="C87" s="66">
        <v>36</v>
      </c>
      <c r="D87" s="79" t="s">
        <v>72</v>
      </c>
      <c r="E87" s="79">
        <v>9</v>
      </c>
      <c r="F87" s="67">
        <v>3</v>
      </c>
      <c r="G87" s="79">
        <v>84.76</v>
      </c>
      <c r="H87" s="79">
        <v>12</v>
      </c>
      <c r="I87" s="79">
        <v>6.69</v>
      </c>
      <c r="J87" s="109">
        <v>1</v>
      </c>
      <c r="K87" s="68">
        <f t="shared" si="26"/>
        <v>1595445.52284</v>
      </c>
      <c r="L87" s="79" t="s">
        <v>54</v>
      </c>
      <c r="M87" s="68">
        <f t="shared" si="37"/>
        <v>1563536.6123831999</v>
      </c>
      <c r="N87" s="68">
        <f t="shared" si="27"/>
        <v>1263536.6123831999</v>
      </c>
      <c r="O87" s="68">
        <f t="shared" si="28"/>
        <v>1616696.8572042286</v>
      </c>
      <c r="P87" s="68">
        <f t="shared" si="29"/>
        <v>353160.24482102878</v>
      </c>
      <c r="Q87" s="68">
        <f t="shared" si="30"/>
        <v>1263536.6123831999</v>
      </c>
      <c r="R87" s="137" t="s">
        <v>69</v>
      </c>
      <c r="S87" s="109">
        <v>36</v>
      </c>
      <c r="T87" s="72">
        <f t="shared" si="31"/>
        <v>12</v>
      </c>
      <c r="U87" s="72">
        <f t="shared" si="32"/>
        <v>0</v>
      </c>
      <c r="V87" s="73">
        <f t="shared" si="33"/>
        <v>0</v>
      </c>
      <c r="W87" s="73">
        <f t="shared" si="34"/>
        <v>0</v>
      </c>
      <c r="X87" s="68">
        <f t="shared" si="35"/>
        <v>319089.10456800001</v>
      </c>
      <c r="Y87" s="74">
        <f t="shared" si="36"/>
        <v>300000</v>
      </c>
      <c r="Z87" s="62">
        <f t="array" ref="Z87">_xlfn.IFS(AND(F87=3,G87&gt;90),(90*1)+((G87-90)*0.15),AND(F87=3.5,G87&gt;100),(100*1)+((G87-100)*0.15),AND(F87=4,G87&gt;110),(110*1)+((G87-110)*0.15),AND(F87=4.5,G87&gt;120),(120*1)+((G87-120)*0.15),AND(F87=5,G87&gt;125),(125*1)+((G87-125)*0.15),AND(F87=5.5,G87&gt;135),(135*1)+((G87-135)*0.15),AND(F87=6,G87&gt;145),(145*1)+((G87-145)*0.15),TRUE(),G87)</f>
        <v>84.76</v>
      </c>
      <c r="AA87" s="63">
        <v>-0.02</v>
      </c>
      <c r="AD87" s="136" t="s">
        <v>47</v>
      </c>
      <c r="AE87" s="64" t="b">
        <f t="shared" si="38"/>
        <v>0</v>
      </c>
      <c r="AI87" s="64" t="e">
        <f>L87='[1]מחיר מטרה-שקבלתי מאסתר'!L87</f>
        <v>#REF!</v>
      </c>
    </row>
    <row r="88" spans="1:35" ht="14.25" customHeight="1" x14ac:dyDescent="0.3">
      <c r="A88" s="65" t="s">
        <v>67</v>
      </c>
      <c r="B88" s="66">
        <v>130</v>
      </c>
      <c r="C88" s="66">
        <v>37</v>
      </c>
      <c r="D88" s="79" t="s">
        <v>68</v>
      </c>
      <c r="E88" s="79">
        <v>10</v>
      </c>
      <c r="F88" s="79">
        <v>5</v>
      </c>
      <c r="G88" s="79">
        <v>124.19</v>
      </c>
      <c r="H88" s="79">
        <v>15</v>
      </c>
      <c r="I88" s="79">
        <v>7.23</v>
      </c>
      <c r="J88" s="109">
        <v>2</v>
      </c>
      <c r="K88" s="68">
        <f t="shared" si="26"/>
        <v>2325053.6875799997</v>
      </c>
      <c r="L88" s="69" t="s">
        <v>47</v>
      </c>
      <c r="M88" s="68">
        <f t="shared" si="37"/>
        <v>2290177.8822662998</v>
      </c>
      <c r="N88" s="68">
        <f t="shared" si="27"/>
        <v>1990177.8822662998</v>
      </c>
      <c r="O88" s="68">
        <f t="shared" si="28"/>
        <v>2368043.930263354</v>
      </c>
      <c r="P88" s="68">
        <f t="shared" si="29"/>
        <v>377866.04799705418</v>
      </c>
      <c r="Q88" s="68">
        <f t="shared" si="30"/>
        <v>1990177.8822662998</v>
      </c>
      <c r="R88" s="139" t="s">
        <v>69</v>
      </c>
      <c r="S88" s="109">
        <v>37</v>
      </c>
      <c r="T88" s="72">
        <f t="shared" si="31"/>
        <v>15</v>
      </c>
      <c r="U88" s="72">
        <f t="shared" si="32"/>
        <v>0</v>
      </c>
      <c r="V88" s="73">
        <f t="shared" si="33"/>
        <v>0</v>
      </c>
      <c r="W88" s="73">
        <f t="shared" si="34"/>
        <v>0</v>
      </c>
      <c r="X88" s="68">
        <f t="shared" si="35"/>
        <v>465010.73751599994</v>
      </c>
      <c r="Y88" s="74">
        <f t="shared" si="36"/>
        <v>300000</v>
      </c>
      <c r="Z88" s="62">
        <f t="array" ref="Z88">_xlfn.IFS(AND(F88=3,G88&gt;90),(90*1)+((G88-90)*0.15),AND(F88=3.5,G88&gt;100),(100*1)+((G88-100)*0.15),AND(F88=4,G88&gt;110),(110*1)+((G88-110)*0.15),AND(F88=4.5,G88&gt;120),(120*1)+((G88-120)*0.15),AND(F88=5,G88&gt;125),(125*1)+((G88-125)*0.15),AND(F88=5.5,G88&gt;135),(135*1)+((G88-135)*0.15),AND(F88=6,G88&gt;145),(145*1)+((G88-145)*0.15),TRUE(),G88)</f>
        <v>124.19</v>
      </c>
      <c r="AA88" s="63">
        <v>-1.4999999999999999E-2</v>
      </c>
      <c r="AD88" s="138" t="s">
        <v>54</v>
      </c>
      <c r="AE88" s="64" t="b">
        <f t="shared" si="38"/>
        <v>0</v>
      </c>
      <c r="AI88" s="64" t="e">
        <f>L88='[1]מחיר מטרה-שקבלתי מאסתר'!L88</f>
        <v>#REF!</v>
      </c>
    </row>
    <row r="89" spans="1:35" ht="14.25" customHeight="1" x14ac:dyDescent="0.3">
      <c r="A89" s="65" t="s">
        <v>67</v>
      </c>
      <c r="B89" s="66">
        <v>130</v>
      </c>
      <c r="C89" s="66">
        <v>38</v>
      </c>
      <c r="D89" s="67" t="s">
        <v>73</v>
      </c>
      <c r="E89" s="67">
        <v>10</v>
      </c>
      <c r="F89" s="67">
        <v>4</v>
      </c>
      <c r="G89" s="67">
        <v>113.37</v>
      </c>
      <c r="H89" s="67">
        <v>14.77</v>
      </c>
      <c r="I89" s="67">
        <v>6.27</v>
      </c>
      <c r="J89" s="109">
        <v>1</v>
      </c>
      <c r="K89" s="68">
        <f t="shared" si="26"/>
        <v>2048316.7027049996</v>
      </c>
      <c r="L89" s="77" t="s">
        <v>47</v>
      </c>
      <c r="M89" s="68">
        <f t="shared" si="37"/>
        <v>2017591.9521644246</v>
      </c>
      <c r="N89" s="68">
        <f t="shared" si="27"/>
        <v>1717591.9521644246</v>
      </c>
      <c r="O89" s="68">
        <f t="shared" si="28"/>
        <v>2086190.078538015</v>
      </c>
      <c r="P89" s="68">
        <f t="shared" si="29"/>
        <v>368598.12637359044</v>
      </c>
      <c r="Q89" s="68">
        <f t="shared" si="30"/>
        <v>1717591.9521644246</v>
      </c>
      <c r="R89" s="78" t="s">
        <v>69</v>
      </c>
      <c r="S89" s="109">
        <v>38</v>
      </c>
      <c r="T89" s="72">
        <f t="shared" si="31"/>
        <v>14.77</v>
      </c>
      <c r="U89" s="72">
        <f t="shared" si="32"/>
        <v>0</v>
      </c>
      <c r="V89" s="73">
        <f t="shared" si="33"/>
        <v>0</v>
      </c>
      <c r="W89" s="73">
        <f t="shared" si="34"/>
        <v>0</v>
      </c>
      <c r="X89" s="68">
        <f t="shared" si="35"/>
        <v>409663.34054099995</v>
      </c>
      <c r="Y89" s="74">
        <f t="shared" si="36"/>
        <v>300000</v>
      </c>
      <c r="Z89" s="62">
        <f t="array" ref="Z89">_xlfn.IFS(AND(F89=3,G89&gt;90),(90*1)+((G89-90)*0.15),AND(F89=3.5,G89&gt;100),(100*1)+((G89-100)*0.15),AND(F89=4,G89&gt;110),(110*1)+((G89-110)*0.15),AND(F89=4.5,G89&gt;120),(120*1)+((G89-120)*0.15),AND(F89=5,G89&gt;125),(125*1)+((G89-125)*0.15),AND(F89=5.5,G89&gt;135),(135*1)+((G89-135)*0.15),AND(F89=6,G89&gt;145),(145*1)+((G89-145)*0.15),TRUE(),G89)</f>
        <v>110.5055</v>
      </c>
      <c r="AA89" s="63">
        <v>-1.4999999999999999E-2</v>
      </c>
      <c r="AD89" s="138" t="s">
        <v>54</v>
      </c>
      <c r="AE89" s="64" t="b">
        <f t="shared" si="38"/>
        <v>0</v>
      </c>
      <c r="AI89" s="64" t="e">
        <f>L89='[1]מחיר מטרה-שקבלתי מאסתר'!L89</f>
        <v>#REF!</v>
      </c>
    </row>
    <row r="90" spans="1:35" ht="14.25" customHeight="1" x14ac:dyDescent="0.3">
      <c r="A90" s="65" t="s">
        <v>67</v>
      </c>
      <c r="B90" s="66">
        <v>130</v>
      </c>
      <c r="C90" s="66">
        <v>39</v>
      </c>
      <c r="D90" s="79" t="s">
        <v>71</v>
      </c>
      <c r="E90" s="79">
        <v>10</v>
      </c>
      <c r="F90" s="67">
        <v>4</v>
      </c>
      <c r="G90" s="79">
        <v>103.79</v>
      </c>
      <c r="H90" s="79">
        <v>14.98</v>
      </c>
      <c r="I90" s="79">
        <v>6.51</v>
      </c>
      <c r="J90" s="109">
        <v>1</v>
      </c>
      <c r="K90" s="68">
        <f t="shared" si="26"/>
        <v>1935881.31672</v>
      </c>
      <c r="L90" s="79" t="s">
        <v>54</v>
      </c>
      <c r="M90" s="68">
        <f t="shared" si="37"/>
        <v>1906843.0969692001</v>
      </c>
      <c r="N90" s="68">
        <f t="shared" si="27"/>
        <v>1606843.0969692001</v>
      </c>
      <c r="O90" s="68">
        <f t="shared" si="28"/>
        <v>1971675.762266153</v>
      </c>
      <c r="P90" s="68">
        <f t="shared" si="29"/>
        <v>364832.66529695294</v>
      </c>
      <c r="Q90" s="68">
        <f t="shared" si="30"/>
        <v>1606843.0969692001</v>
      </c>
      <c r="R90" s="78" t="s">
        <v>69</v>
      </c>
      <c r="S90" s="109">
        <v>39</v>
      </c>
      <c r="T90" s="72">
        <f t="shared" si="31"/>
        <v>14.98</v>
      </c>
      <c r="U90" s="72">
        <f t="shared" si="32"/>
        <v>0</v>
      </c>
      <c r="V90" s="73">
        <f t="shared" si="33"/>
        <v>0</v>
      </c>
      <c r="W90" s="73">
        <f t="shared" si="34"/>
        <v>0</v>
      </c>
      <c r="X90" s="68">
        <f t="shared" si="35"/>
        <v>387176.26334400004</v>
      </c>
      <c r="Y90" s="74">
        <f t="shared" si="36"/>
        <v>300000</v>
      </c>
      <c r="Z90" s="62">
        <f t="array" ref="Z90">_xlfn.IFS(AND(F90=3,G90&gt;90),(90*1)+((G90-90)*0.15),AND(F90=3.5,G90&gt;100),(100*1)+((G90-100)*0.15),AND(F90=4,G90&gt;110),(110*1)+((G90-110)*0.15),AND(F90=4.5,G90&gt;120),(120*1)+((G90-120)*0.15),AND(F90=5,G90&gt;125),(125*1)+((G90-125)*0.15),AND(F90=5.5,G90&gt;135),(135*1)+((G90-135)*0.15),AND(F90=6,G90&gt;145),(145*1)+((G90-145)*0.15),TRUE(),G90)</f>
        <v>103.79</v>
      </c>
      <c r="AA90" s="63">
        <v>-1.4999999999999999E-2</v>
      </c>
      <c r="AD90" s="136" t="s">
        <v>47</v>
      </c>
      <c r="AE90" s="64" t="b">
        <f t="shared" si="38"/>
        <v>0</v>
      </c>
      <c r="AI90" s="64" t="e">
        <f>L90='[1]מחיר מטרה-שקבלתי מאסתר'!L90</f>
        <v>#REF!</v>
      </c>
    </row>
    <row r="91" spans="1:35" ht="14.25" customHeight="1" x14ac:dyDescent="0.3">
      <c r="A91" s="65" t="s">
        <v>67</v>
      </c>
      <c r="B91" s="66">
        <v>130</v>
      </c>
      <c r="C91" s="66">
        <v>40</v>
      </c>
      <c r="D91" s="79" t="s">
        <v>72</v>
      </c>
      <c r="E91" s="79">
        <v>10</v>
      </c>
      <c r="F91" s="67">
        <v>3</v>
      </c>
      <c r="G91" s="79">
        <v>84.76</v>
      </c>
      <c r="H91" s="79">
        <v>12</v>
      </c>
      <c r="I91" s="79">
        <v>6.69</v>
      </c>
      <c r="J91" s="109">
        <v>1</v>
      </c>
      <c r="K91" s="68">
        <f t="shared" si="26"/>
        <v>1595445.52284</v>
      </c>
      <c r="L91" s="79" t="s">
        <v>54</v>
      </c>
      <c r="M91" s="68">
        <f t="shared" si="37"/>
        <v>1571513.8399974001</v>
      </c>
      <c r="N91" s="68">
        <f t="shared" si="27"/>
        <v>1271513.8399974001</v>
      </c>
      <c r="O91" s="68">
        <f t="shared" si="28"/>
        <v>1624945.3105573116</v>
      </c>
      <c r="P91" s="68">
        <f t="shared" si="29"/>
        <v>353431.47055991157</v>
      </c>
      <c r="Q91" s="68">
        <f t="shared" si="30"/>
        <v>1271513.8399974001</v>
      </c>
      <c r="R91" s="78" t="s">
        <v>69</v>
      </c>
      <c r="S91" s="109">
        <v>40</v>
      </c>
      <c r="T91" s="72">
        <f t="shared" si="31"/>
        <v>12</v>
      </c>
      <c r="U91" s="72">
        <f t="shared" si="32"/>
        <v>0</v>
      </c>
      <c r="V91" s="73">
        <f t="shared" si="33"/>
        <v>0</v>
      </c>
      <c r="W91" s="73">
        <f t="shared" si="34"/>
        <v>0</v>
      </c>
      <c r="X91" s="68">
        <f t="shared" si="35"/>
        <v>319089.10456800001</v>
      </c>
      <c r="Y91" s="74">
        <f t="shared" si="36"/>
        <v>300000</v>
      </c>
      <c r="Z91" s="62">
        <f t="array" ref="Z91">_xlfn.IFS(AND(F91=3,G91&gt;90),(90*1)+((G91-90)*0.15),AND(F91=3.5,G91&gt;100),(100*1)+((G91-100)*0.15),AND(F91=4,G91&gt;110),(110*1)+((G91-110)*0.15),AND(F91=4.5,G91&gt;120),(120*1)+((G91-120)*0.15),AND(F91=5,G91&gt;125),(125*1)+((G91-125)*0.15),AND(F91=5.5,G91&gt;135),(135*1)+((G91-135)*0.15),AND(F91=6,G91&gt;145),(145*1)+((G91-145)*0.15),TRUE(),G91)</f>
        <v>84.76</v>
      </c>
      <c r="AA91" s="63">
        <v>-1.4999999999999999E-2</v>
      </c>
      <c r="AD91" s="136" t="s">
        <v>47</v>
      </c>
      <c r="AE91" s="64" t="b">
        <f t="shared" si="38"/>
        <v>0</v>
      </c>
      <c r="AI91" s="64" t="e">
        <f>L91='[1]מחיר מטרה-שקבלתי מאסתר'!L91</f>
        <v>#REF!</v>
      </c>
    </row>
    <row r="92" spans="1:35" ht="14.25" customHeight="1" x14ac:dyDescent="0.3">
      <c r="A92" s="65" t="s">
        <v>67</v>
      </c>
      <c r="B92" s="66">
        <v>130</v>
      </c>
      <c r="C92" s="66">
        <v>41</v>
      </c>
      <c r="D92" s="67" t="s">
        <v>74</v>
      </c>
      <c r="E92" s="67">
        <v>11</v>
      </c>
      <c r="F92" s="67">
        <v>5</v>
      </c>
      <c r="G92" s="67">
        <v>124.19</v>
      </c>
      <c r="H92" s="67">
        <v>15</v>
      </c>
      <c r="I92" s="67">
        <v>7.23</v>
      </c>
      <c r="J92" s="109">
        <v>1</v>
      </c>
      <c r="K92" s="68">
        <f t="shared" si="26"/>
        <v>2290756.3075799998</v>
      </c>
      <c r="L92" s="69" t="s">
        <v>47</v>
      </c>
      <c r="M92" s="68">
        <f t="shared" si="37"/>
        <v>2267848.7445041998</v>
      </c>
      <c r="N92" s="68">
        <f t="shared" si="27"/>
        <v>1967848.7445041998</v>
      </c>
      <c r="O92" s="68">
        <f t="shared" si="28"/>
        <v>2344955.6018173429</v>
      </c>
      <c r="P92" s="68">
        <f t="shared" si="29"/>
        <v>377106.85731314309</v>
      </c>
      <c r="Q92" s="68">
        <f t="shared" si="30"/>
        <v>1967848.7445041998</v>
      </c>
      <c r="R92" s="139" t="s">
        <v>69</v>
      </c>
      <c r="S92" s="109">
        <v>41</v>
      </c>
      <c r="T92" s="72">
        <f t="shared" si="31"/>
        <v>15</v>
      </c>
      <c r="U92" s="72">
        <f t="shared" si="32"/>
        <v>0</v>
      </c>
      <c r="V92" s="73">
        <f t="shared" si="33"/>
        <v>0</v>
      </c>
      <c r="W92" s="73">
        <f t="shared" si="34"/>
        <v>0</v>
      </c>
      <c r="X92" s="68">
        <f t="shared" si="35"/>
        <v>458151.26151599997</v>
      </c>
      <c r="Y92" s="74">
        <f t="shared" si="36"/>
        <v>300000</v>
      </c>
      <c r="Z92" s="62">
        <f t="array" ref="Z92">_xlfn.IFS(AND(F92=3,G92&gt;90),(90*1)+((G92-90)*0.15),AND(F92=3.5,G92&gt;100),(100*1)+((G92-100)*0.15),AND(F92=4,G92&gt;110),(110*1)+((G92-110)*0.15),AND(F92=4.5,G92&gt;120),(120*1)+((G92-120)*0.15),AND(F92=5,G92&gt;125),(125*1)+((G92-125)*0.15),AND(F92=5.5,G92&gt;135),(135*1)+((G92-135)*0.15),AND(F92=6,G92&gt;145),(145*1)+((G92-145)*0.15),TRUE(),G92)</f>
        <v>124.19</v>
      </c>
      <c r="AA92" s="63">
        <v>-0.01</v>
      </c>
      <c r="AD92" s="138" t="s">
        <v>54</v>
      </c>
      <c r="AE92" s="64" t="b">
        <f t="shared" si="38"/>
        <v>0</v>
      </c>
      <c r="AI92" s="64" t="e">
        <f>L92='[1]מחיר מטרה-שקבלתי מאסתר'!L92</f>
        <v>#REF!</v>
      </c>
    </row>
    <row r="93" spans="1:35" ht="14.25" customHeight="1" x14ac:dyDescent="0.3">
      <c r="A93" s="65" t="s">
        <v>67</v>
      </c>
      <c r="B93" s="66">
        <v>130</v>
      </c>
      <c r="C93" s="66">
        <v>42</v>
      </c>
      <c r="D93" s="67" t="s">
        <v>70</v>
      </c>
      <c r="E93" s="67">
        <v>11</v>
      </c>
      <c r="F93" s="67">
        <v>4</v>
      </c>
      <c r="G93" s="67">
        <v>113.37</v>
      </c>
      <c r="H93" s="67">
        <v>19.38</v>
      </c>
      <c r="I93" s="67">
        <v>6.27</v>
      </c>
      <c r="J93" s="109">
        <v>1</v>
      </c>
      <c r="K93" s="68">
        <f t="shared" si="26"/>
        <v>2072033.3409749996</v>
      </c>
      <c r="L93" s="77" t="s">
        <v>47</v>
      </c>
      <c r="M93" s="68">
        <f t="shared" si="37"/>
        <v>2051313.0075652497</v>
      </c>
      <c r="N93" s="68">
        <f t="shared" si="27"/>
        <v>1751313.0075652497</v>
      </c>
      <c r="O93" s="68">
        <f t="shared" si="28"/>
        <v>2121057.6498224684</v>
      </c>
      <c r="P93" s="68">
        <f t="shared" si="29"/>
        <v>369744.64225721871</v>
      </c>
      <c r="Q93" s="68">
        <f t="shared" si="30"/>
        <v>1751313.0075652497</v>
      </c>
      <c r="R93" s="139" t="s">
        <v>69</v>
      </c>
      <c r="S93" s="109">
        <v>42</v>
      </c>
      <c r="T93" s="72">
        <f t="shared" si="31"/>
        <v>19.38</v>
      </c>
      <c r="U93" s="72">
        <f t="shared" si="32"/>
        <v>0</v>
      </c>
      <c r="V93" s="73">
        <f t="shared" si="33"/>
        <v>0</v>
      </c>
      <c r="W93" s="73">
        <f t="shared" si="34"/>
        <v>0</v>
      </c>
      <c r="X93" s="68">
        <f t="shared" si="35"/>
        <v>414406.66819499992</v>
      </c>
      <c r="Y93" s="74">
        <f t="shared" si="36"/>
        <v>300000</v>
      </c>
      <c r="Z93" s="62">
        <f t="array" ref="Z93">_xlfn.IFS(AND(F93=3,G93&gt;90),(90*1)+((G93-90)*0.15),AND(F93=3.5,G93&gt;100),(100*1)+((G93-100)*0.15),AND(F93=4,G93&gt;110),(110*1)+((G93-110)*0.15),AND(F93=4.5,G93&gt;120),(120*1)+((G93-120)*0.15),AND(F93=5,G93&gt;125),(125*1)+((G93-125)*0.15),AND(F93=5.5,G93&gt;135),(135*1)+((G93-135)*0.15),AND(F93=6,G93&gt;145),(145*1)+((G93-145)*0.15),TRUE(),G93)</f>
        <v>110.5055</v>
      </c>
      <c r="AA93" s="63">
        <v>-0.01</v>
      </c>
      <c r="AD93" s="138" t="s">
        <v>54</v>
      </c>
      <c r="AE93" s="64" t="b">
        <f t="shared" si="38"/>
        <v>0</v>
      </c>
      <c r="AI93" s="64" t="e">
        <f>L93='[1]מחיר מטרה-שקבלתי מאסתר'!L93</f>
        <v>#REF!</v>
      </c>
    </row>
    <row r="94" spans="1:35" ht="14.25" customHeight="1" x14ac:dyDescent="0.3">
      <c r="A94" s="65" t="s">
        <v>67</v>
      </c>
      <c r="B94" s="66">
        <v>130</v>
      </c>
      <c r="C94" s="66">
        <v>43</v>
      </c>
      <c r="D94" s="79" t="s">
        <v>71</v>
      </c>
      <c r="E94" s="79">
        <v>11</v>
      </c>
      <c r="F94" s="67">
        <v>4</v>
      </c>
      <c r="G94" s="79">
        <v>103.79</v>
      </c>
      <c r="H94" s="79">
        <v>14.98</v>
      </c>
      <c r="I94" s="79">
        <v>6.51</v>
      </c>
      <c r="J94" s="109">
        <v>1</v>
      </c>
      <c r="K94" s="68">
        <f t="shared" si="26"/>
        <v>1935881.31672</v>
      </c>
      <c r="L94" s="79" t="s">
        <v>54</v>
      </c>
      <c r="M94" s="68">
        <f t="shared" si="37"/>
        <v>1916522.5035528</v>
      </c>
      <c r="N94" s="68">
        <f t="shared" si="27"/>
        <v>1616522.5035528</v>
      </c>
      <c r="O94" s="68">
        <f t="shared" si="28"/>
        <v>1981684.2686735953</v>
      </c>
      <c r="P94" s="68">
        <f t="shared" si="29"/>
        <v>365161.76512079523</v>
      </c>
      <c r="Q94" s="68">
        <f t="shared" si="30"/>
        <v>1616522.5035528</v>
      </c>
      <c r="R94" s="139" t="s">
        <v>69</v>
      </c>
      <c r="S94" s="109">
        <v>43</v>
      </c>
      <c r="T94" s="72">
        <f t="shared" si="31"/>
        <v>14.98</v>
      </c>
      <c r="U94" s="72">
        <f t="shared" si="32"/>
        <v>0</v>
      </c>
      <c r="V94" s="73">
        <f t="shared" si="33"/>
        <v>0</v>
      </c>
      <c r="W94" s="73">
        <f t="shared" si="34"/>
        <v>0</v>
      </c>
      <c r="X94" s="68">
        <f t="shared" si="35"/>
        <v>387176.26334400004</v>
      </c>
      <c r="Y94" s="74">
        <f t="shared" si="36"/>
        <v>300000</v>
      </c>
      <c r="Z94" s="62">
        <f t="array" ref="Z94">_xlfn.IFS(AND(F94=3,G94&gt;90),(90*1)+((G94-90)*0.15),AND(F94=3.5,G94&gt;100),(100*1)+((G94-100)*0.15),AND(F94=4,G94&gt;110),(110*1)+((G94-110)*0.15),AND(F94=4.5,G94&gt;120),(120*1)+((G94-120)*0.15),AND(F94=5,G94&gt;125),(125*1)+((G94-125)*0.15),AND(F94=5.5,G94&gt;135),(135*1)+((G94-135)*0.15),AND(F94=6,G94&gt;145),(145*1)+((G94-145)*0.15),TRUE(),G94)</f>
        <v>103.79</v>
      </c>
      <c r="AA94" s="63">
        <v>-0.01</v>
      </c>
      <c r="AD94" s="136" t="s">
        <v>47</v>
      </c>
      <c r="AE94" s="64" t="b">
        <f t="shared" si="38"/>
        <v>0</v>
      </c>
      <c r="AI94" s="64" t="e">
        <f>L94='[1]מחיר מטרה-שקבלתי מאסתר'!L94</f>
        <v>#REF!</v>
      </c>
    </row>
    <row r="95" spans="1:35" ht="15.6" x14ac:dyDescent="0.3">
      <c r="A95" s="65" t="s">
        <v>67</v>
      </c>
      <c r="B95" s="66">
        <v>130</v>
      </c>
      <c r="C95" s="66">
        <v>44</v>
      </c>
      <c r="D95" s="79" t="s">
        <v>72</v>
      </c>
      <c r="E95" s="79">
        <v>11</v>
      </c>
      <c r="F95" s="67">
        <v>3</v>
      </c>
      <c r="G95" s="79">
        <v>84.76</v>
      </c>
      <c r="H95" s="79">
        <v>12</v>
      </c>
      <c r="I95" s="79">
        <v>6.69</v>
      </c>
      <c r="J95" s="109">
        <v>1</v>
      </c>
      <c r="K95" s="68">
        <f t="shared" si="26"/>
        <v>1595445.52284</v>
      </c>
      <c r="L95" s="79" t="s">
        <v>54</v>
      </c>
      <c r="M95" s="68">
        <f t="shared" si="37"/>
        <v>1579491.0676116</v>
      </c>
      <c r="N95" s="68">
        <f t="shared" si="27"/>
        <v>1279491.0676116</v>
      </c>
      <c r="O95" s="68">
        <f t="shared" si="28"/>
        <v>1633193.7639103944</v>
      </c>
      <c r="P95" s="68">
        <f t="shared" si="29"/>
        <v>353702.69629879436</v>
      </c>
      <c r="Q95" s="68">
        <f t="shared" si="30"/>
        <v>1279491.0676116</v>
      </c>
      <c r="R95" s="139" t="s">
        <v>69</v>
      </c>
      <c r="S95" s="109">
        <v>44</v>
      </c>
      <c r="T95" s="72">
        <f t="shared" si="31"/>
        <v>12</v>
      </c>
      <c r="U95" s="72">
        <f t="shared" si="32"/>
        <v>0</v>
      </c>
      <c r="V95" s="73">
        <f t="shared" si="33"/>
        <v>0</v>
      </c>
      <c r="W95" s="73">
        <f t="shared" si="34"/>
        <v>0</v>
      </c>
      <c r="X95" s="68">
        <f t="shared" si="35"/>
        <v>319089.10456800001</v>
      </c>
      <c r="Y95" s="74">
        <f t="shared" si="36"/>
        <v>300000</v>
      </c>
      <c r="Z95" s="62">
        <f t="array" ref="Z95">_xlfn.IFS(AND(F95=3,G95&gt;90),(90*1)+((G95-90)*0.15),AND(F95=3.5,G95&gt;100),(100*1)+((G95-100)*0.15),AND(F95=4,G95&gt;110),(110*1)+((G95-110)*0.15),AND(F95=4.5,G95&gt;120),(120*1)+((G95-120)*0.15),AND(F95=5,G95&gt;125),(125*1)+((G95-125)*0.15),AND(F95=5.5,G95&gt;135),(135*1)+((G95-135)*0.15),AND(F95=6,G95&gt;145),(145*1)+((G95-145)*0.15),TRUE(),G95)</f>
        <v>84.76</v>
      </c>
      <c r="AA95" s="63">
        <v>-0.01</v>
      </c>
      <c r="AD95" s="136" t="s">
        <v>47</v>
      </c>
      <c r="AE95" s="64" t="b">
        <f t="shared" si="38"/>
        <v>0</v>
      </c>
      <c r="AI95" s="64" t="e">
        <f>L95='[1]מחיר מטרה-שקבלתי מאסתר'!L95</f>
        <v>#REF!</v>
      </c>
    </row>
    <row r="96" spans="1:35" ht="14.25" customHeight="1" x14ac:dyDescent="0.3">
      <c r="A96" s="65" t="s">
        <v>67</v>
      </c>
      <c r="B96" s="66">
        <v>130</v>
      </c>
      <c r="C96" s="66">
        <v>45</v>
      </c>
      <c r="D96" s="67" t="s">
        <v>74</v>
      </c>
      <c r="E96" s="67">
        <v>12</v>
      </c>
      <c r="F96" s="67">
        <v>5</v>
      </c>
      <c r="G96" s="67">
        <v>124.19</v>
      </c>
      <c r="H96" s="67">
        <v>15</v>
      </c>
      <c r="I96" s="67">
        <v>7.23</v>
      </c>
      <c r="J96" s="109">
        <v>1</v>
      </c>
      <c r="K96" s="68">
        <f t="shared" si="26"/>
        <v>2290756.3075799998</v>
      </c>
      <c r="L96" s="69" t="s">
        <v>47</v>
      </c>
      <c r="M96" s="68">
        <f t="shared" si="37"/>
        <v>2279302.5260420996</v>
      </c>
      <c r="N96" s="68">
        <f t="shared" si="27"/>
        <v>1979302.5260420996</v>
      </c>
      <c r="O96" s="68">
        <f t="shared" si="28"/>
        <v>2356798.8119275309</v>
      </c>
      <c r="P96" s="68">
        <f t="shared" si="29"/>
        <v>377496.28588543134</v>
      </c>
      <c r="Q96" s="68">
        <f t="shared" si="30"/>
        <v>1979302.5260420996</v>
      </c>
      <c r="R96" s="70" t="s">
        <v>69</v>
      </c>
      <c r="S96" s="109">
        <v>45</v>
      </c>
      <c r="T96" s="72">
        <f t="shared" si="31"/>
        <v>15</v>
      </c>
      <c r="U96" s="72">
        <f t="shared" si="32"/>
        <v>0</v>
      </c>
      <c r="V96" s="73">
        <f t="shared" si="33"/>
        <v>0</v>
      </c>
      <c r="W96" s="73">
        <f t="shared" si="34"/>
        <v>0</v>
      </c>
      <c r="X96" s="68">
        <f t="shared" si="35"/>
        <v>458151.26151599997</v>
      </c>
      <c r="Y96" s="74">
        <f t="shared" si="36"/>
        <v>300000</v>
      </c>
      <c r="Z96" s="62">
        <f t="array" ref="Z96">_xlfn.IFS(AND(F96=3,G96&gt;90),(90*1)+((G96-90)*0.15),AND(F96=3.5,G96&gt;100),(100*1)+((G96-100)*0.15),AND(F96=4,G96&gt;110),(110*1)+((G96-110)*0.15),AND(F96=4.5,G96&gt;120),(120*1)+((G96-120)*0.15),AND(F96=5,G96&gt;125),(125*1)+((G96-125)*0.15),AND(F96=5.5,G96&gt;135),(135*1)+((G96-135)*0.15),AND(F96=6,G96&gt;145),(145*1)+((G96-145)*0.15),TRUE(),G96)</f>
        <v>124.19</v>
      </c>
      <c r="AA96" s="63">
        <v>-5.0000000000000001E-3</v>
      </c>
      <c r="AD96" s="138" t="s">
        <v>54</v>
      </c>
      <c r="AE96" s="64" t="b">
        <f t="shared" si="38"/>
        <v>0</v>
      </c>
      <c r="AI96" s="64" t="e">
        <f>L96='[1]מחיר מטרה-שקבלתי מאסתר'!L96</f>
        <v>#REF!</v>
      </c>
    </row>
    <row r="97" spans="1:35" ht="14.25" customHeight="1" x14ac:dyDescent="0.3">
      <c r="A97" s="65" t="s">
        <v>67</v>
      </c>
      <c r="B97" s="66">
        <v>130</v>
      </c>
      <c r="C97" s="66">
        <v>46</v>
      </c>
      <c r="D97" s="67" t="s">
        <v>73</v>
      </c>
      <c r="E97" s="67">
        <v>12</v>
      </c>
      <c r="F97" s="67">
        <v>4</v>
      </c>
      <c r="G97" s="67">
        <v>113.37</v>
      </c>
      <c r="H97" s="67">
        <v>14.77</v>
      </c>
      <c r="I97" s="67">
        <v>6.27</v>
      </c>
      <c r="J97" s="109">
        <v>1</v>
      </c>
      <c r="K97" s="68">
        <f t="shared" si="26"/>
        <v>2048316.7027049996</v>
      </c>
      <c r="L97" s="77" t="s">
        <v>47</v>
      </c>
      <c r="M97" s="68">
        <f t="shared" si="37"/>
        <v>2038075.1191914745</v>
      </c>
      <c r="N97" s="68">
        <f t="shared" si="27"/>
        <v>1738075.1191914745</v>
      </c>
      <c r="O97" s="68">
        <f t="shared" si="28"/>
        <v>2107369.6732439846</v>
      </c>
      <c r="P97" s="68">
        <f t="shared" si="29"/>
        <v>369294.55405251007</v>
      </c>
      <c r="Q97" s="68">
        <f t="shared" si="30"/>
        <v>1738075.1191914745</v>
      </c>
      <c r="R97" s="70" t="s">
        <v>69</v>
      </c>
      <c r="S97" s="109">
        <v>46</v>
      </c>
      <c r="T97" s="72">
        <f t="shared" si="31"/>
        <v>14.77</v>
      </c>
      <c r="U97" s="72">
        <f t="shared" si="32"/>
        <v>0</v>
      </c>
      <c r="V97" s="73">
        <f t="shared" si="33"/>
        <v>0</v>
      </c>
      <c r="W97" s="73">
        <f t="shared" si="34"/>
        <v>0</v>
      </c>
      <c r="X97" s="68">
        <f t="shared" si="35"/>
        <v>409663.34054099995</v>
      </c>
      <c r="Y97" s="74">
        <f t="shared" si="36"/>
        <v>300000</v>
      </c>
      <c r="Z97" s="62">
        <f t="array" ref="Z97">_xlfn.IFS(AND(F97=3,G97&gt;90),(90*1)+((G97-90)*0.15),AND(F97=3.5,G97&gt;100),(100*1)+((G97-100)*0.15),AND(F97=4,G97&gt;110),(110*1)+((G97-110)*0.15),AND(F97=4.5,G97&gt;120),(120*1)+((G97-120)*0.15),AND(F97=5,G97&gt;125),(125*1)+((G97-125)*0.15),AND(F97=5.5,G97&gt;135),(135*1)+((G97-135)*0.15),AND(F97=6,G97&gt;145),(145*1)+((G97-145)*0.15),TRUE(),G97)</f>
        <v>110.5055</v>
      </c>
      <c r="AA97" s="63">
        <v>-5.0000000000000001E-3</v>
      </c>
      <c r="AD97" s="138" t="s">
        <v>54</v>
      </c>
      <c r="AE97" s="64" t="b">
        <f t="shared" si="38"/>
        <v>0</v>
      </c>
      <c r="AG97" s="111">
        <v>1295445.52284</v>
      </c>
      <c r="AI97" s="64" t="e">
        <f>L97='[1]מחיר מטרה-שקבלתי מאסתר'!L97</f>
        <v>#REF!</v>
      </c>
    </row>
    <row r="98" spans="1:35" ht="14.25" customHeight="1" x14ac:dyDescent="0.3">
      <c r="A98" s="65" t="s">
        <v>67</v>
      </c>
      <c r="B98" s="66">
        <v>130</v>
      </c>
      <c r="C98" s="66">
        <v>47</v>
      </c>
      <c r="D98" s="79" t="s">
        <v>71</v>
      </c>
      <c r="E98" s="79">
        <v>12</v>
      </c>
      <c r="F98" s="67">
        <v>4</v>
      </c>
      <c r="G98" s="79">
        <v>103.79</v>
      </c>
      <c r="H98" s="79">
        <v>14.98</v>
      </c>
      <c r="I98" s="79">
        <v>6.51</v>
      </c>
      <c r="J98" s="109">
        <v>1</v>
      </c>
      <c r="K98" s="68">
        <f t="shared" si="26"/>
        <v>1935881.31672</v>
      </c>
      <c r="L98" s="79" t="s">
        <v>54</v>
      </c>
      <c r="M98" s="68">
        <f t="shared" si="37"/>
        <v>1926201.9101364</v>
      </c>
      <c r="N98" s="68">
        <f t="shared" si="27"/>
        <v>1626201.9101364</v>
      </c>
      <c r="O98" s="68">
        <f t="shared" si="28"/>
        <v>1991692.7750810378</v>
      </c>
      <c r="P98" s="68">
        <f t="shared" si="29"/>
        <v>365490.86494463775</v>
      </c>
      <c r="Q98" s="68">
        <f t="shared" si="30"/>
        <v>1626201.9101364</v>
      </c>
      <c r="R98" s="70" t="s">
        <v>69</v>
      </c>
      <c r="S98" s="109">
        <v>47</v>
      </c>
      <c r="T98" s="72">
        <f t="shared" si="31"/>
        <v>14.98</v>
      </c>
      <c r="U98" s="72">
        <f t="shared" si="32"/>
        <v>0</v>
      </c>
      <c r="V98" s="73">
        <f t="shared" si="33"/>
        <v>0</v>
      </c>
      <c r="W98" s="73">
        <f t="shared" si="34"/>
        <v>0</v>
      </c>
      <c r="X98" s="68">
        <f t="shared" si="35"/>
        <v>387176.26334400004</v>
      </c>
      <c r="Y98" s="74">
        <f t="shared" si="36"/>
        <v>300000</v>
      </c>
      <c r="Z98" s="62">
        <f t="array" ref="Z98">_xlfn.IFS(AND(F98=3,G98&gt;90),(90*1)+((G98-90)*0.15),AND(F98=3.5,G98&gt;100),(100*1)+((G98-100)*0.15),AND(F98=4,G98&gt;110),(110*1)+((G98-110)*0.15),AND(F98=4.5,G98&gt;120),(120*1)+((G98-120)*0.15),AND(F98=5,G98&gt;125),(125*1)+((G98-125)*0.15),AND(F98=5.5,G98&gt;135),(135*1)+((G98-135)*0.15),AND(F98=6,G98&gt;145),(145*1)+((G98-145)*0.15),TRUE(),G98)</f>
        <v>103.79</v>
      </c>
      <c r="AA98" s="63">
        <v>-5.0000000000000001E-3</v>
      </c>
      <c r="AD98" s="138" t="s">
        <v>54</v>
      </c>
      <c r="AE98" s="64" t="b">
        <f t="shared" si="38"/>
        <v>1</v>
      </c>
      <c r="AI98" s="64" t="e">
        <f>L98='[1]מחיר מטרה-שקבלתי מאסתר'!L98</f>
        <v>#REF!</v>
      </c>
    </row>
    <row r="99" spans="1:35" ht="14.25" customHeight="1" x14ac:dyDescent="0.3">
      <c r="A99" s="65" t="s">
        <v>67</v>
      </c>
      <c r="B99" s="66">
        <v>130</v>
      </c>
      <c r="C99" s="66">
        <v>48</v>
      </c>
      <c r="D99" s="79" t="s">
        <v>75</v>
      </c>
      <c r="E99" s="79">
        <v>12</v>
      </c>
      <c r="F99" s="67">
        <v>3</v>
      </c>
      <c r="G99" s="79">
        <v>84.76</v>
      </c>
      <c r="H99" s="79">
        <v>12</v>
      </c>
      <c r="I99" s="79">
        <v>6.69</v>
      </c>
      <c r="J99" s="109">
        <v>1</v>
      </c>
      <c r="K99" s="68">
        <f t="shared" si="26"/>
        <v>1595445.52284</v>
      </c>
      <c r="L99" s="79" t="s">
        <v>54</v>
      </c>
      <c r="M99" s="68">
        <f t="shared" si="37"/>
        <v>1587468.2952258</v>
      </c>
      <c r="N99" s="68">
        <f t="shared" si="27"/>
        <v>1287468.2952258</v>
      </c>
      <c r="O99" s="68">
        <f t="shared" si="28"/>
        <v>1641442.2172634772</v>
      </c>
      <c r="P99" s="68">
        <f t="shared" si="29"/>
        <v>353973.92203767714</v>
      </c>
      <c r="Q99" s="68">
        <f t="shared" si="30"/>
        <v>1287468.2952258</v>
      </c>
      <c r="R99" s="70" t="s">
        <v>69</v>
      </c>
      <c r="S99" s="109">
        <v>48</v>
      </c>
      <c r="T99" s="72">
        <f t="shared" si="31"/>
        <v>12</v>
      </c>
      <c r="U99" s="72">
        <f t="shared" si="32"/>
        <v>0</v>
      </c>
      <c r="V99" s="73">
        <f t="shared" si="33"/>
        <v>0</v>
      </c>
      <c r="W99" s="73">
        <f t="shared" si="34"/>
        <v>0</v>
      </c>
      <c r="X99" s="68">
        <f t="shared" si="35"/>
        <v>319089.10456800001</v>
      </c>
      <c r="Y99" s="74">
        <f t="shared" si="36"/>
        <v>300000</v>
      </c>
      <c r="Z99" s="62">
        <f t="array" ref="Z99">_xlfn.IFS(AND(F99=3,G99&gt;90),(90*1)+((G99-90)*0.15),AND(F99=3.5,G99&gt;100),(100*1)+((G99-100)*0.15),AND(F99=4,G99&gt;110),(110*1)+((G99-110)*0.15),AND(F99=4.5,G99&gt;120),(120*1)+((G99-120)*0.15),AND(F99=5,G99&gt;125),(125*1)+((G99-125)*0.15),AND(F99=5.5,G99&gt;135),(135*1)+((G99-135)*0.15),AND(F99=6,G99&gt;145),(145*1)+((G99-145)*0.15),TRUE(),G99)</f>
        <v>84.76</v>
      </c>
      <c r="AA99" s="63">
        <v>-5.0000000000000001E-3</v>
      </c>
      <c r="AD99" s="136" t="s">
        <v>47</v>
      </c>
      <c r="AE99" s="64" t="b">
        <f t="shared" si="38"/>
        <v>0</v>
      </c>
      <c r="AI99" s="64" t="e">
        <f>L99='[1]מחיר מטרה-שקבלתי מאסתר'!L99</f>
        <v>#REF!</v>
      </c>
    </row>
    <row r="100" spans="1:35" ht="14.25" customHeight="1" x14ac:dyDescent="0.3">
      <c r="A100" s="65" t="s">
        <v>67</v>
      </c>
      <c r="B100" s="66">
        <v>130</v>
      </c>
      <c r="C100" s="66">
        <v>49</v>
      </c>
      <c r="D100" s="67" t="s">
        <v>76</v>
      </c>
      <c r="E100" s="67">
        <v>13</v>
      </c>
      <c r="F100" s="67">
        <v>5</v>
      </c>
      <c r="G100" s="67">
        <v>125.32</v>
      </c>
      <c r="H100" s="67">
        <v>15</v>
      </c>
      <c r="I100" s="67">
        <v>6.25</v>
      </c>
      <c r="J100" s="109">
        <v>1</v>
      </c>
      <c r="K100" s="68">
        <f t="shared" si="26"/>
        <v>2298747.59712</v>
      </c>
      <c r="L100" s="69" t="s">
        <v>47</v>
      </c>
      <c r="M100" s="68">
        <f t="shared" si="37"/>
        <v>2298747.59712</v>
      </c>
      <c r="N100" s="68">
        <f t="shared" si="27"/>
        <v>1998747.59712</v>
      </c>
      <c r="O100" s="68">
        <f t="shared" si="28"/>
        <v>2376905.0154220802</v>
      </c>
      <c r="P100" s="68">
        <f t="shared" si="29"/>
        <v>378157.41830208013</v>
      </c>
      <c r="Q100" s="68">
        <f t="shared" si="30"/>
        <v>1998747.59712</v>
      </c>
      <c r="R100" s="70" t="s">
        <v>69</v>
      </c>
      <c r="S100" s="109">
        <v>49</v>
      </c>
      <c r="T100" s="72">
        <f t="shared" si="31"/>
        <v>15</v>
      </c>
      <c r="U100" s="72">
        <f t="shared" si="32"/>
        <v>0</v>
      </c>
      <c r="V100" s="73">
        <f t="shared" si="33"/>
        <v>0</v>
      </c>
      <c r="W100" s="73">
        <f t="shared" si="34"/>
        <v>0</v>
      </c>
      <c r="X100" s="68">
        <f t="shared" si="35"/>
        <v>459749.51942400006</v>
      </c>
      <c r="Y100" s="74">
        <f t="shared" si="36"/>
        <v>300000</v>
      </c>
      <c r="Z100" s="62">
        <f t="array" ref="Z100">_xlfn.IFS(AND(F100=3,G100&gt;90),(90*1)+((G100-90)*0.15),AND(F100=3.5,G100&gt;100),(100*1)+((G100-100)*0.15),AND(F100=4,G100&gt;110),(110*1)+((G100-110)*0.15),AND(F100=4.5,G100&gt;120),(120*1)+((G100-120)*0.15),AND(F100=5,G100&gt;125),(125*1)+((G100-125)*0.15),AND(F100=5.5,G100&gt;135),(135*1)+((G100-135)*0.15),AND(F100=6,G100&gt;145),(145*1)+((G100-145)*0.15),TRUE(),G100)</f>
        <v>125.048</v>
      </c>
      <c r="AA100" s="63">
        <v>0</v>
      </c>
      <c r="AD100" s="138" t="s">
        <v>54</v>
      </c>
      <c r="AE100" s="64" t="b">
        <f t="shared" si="38"/>
        <v>0</v>
      </c>
      <c r="AI100" s="64" t="e">
        <f>L100='[1]מחיר מטרה-שקבלתי מאסתר'!L100</f>
        <v>#REF!</v>
      </c>
    </row>
    <row r="101" spans="1:35" ht="14.25" customHeight="1" x14ac:dyDescent="0.3">
      <c r="A101" s="65" t="s">
        <v>67</v>
      </c>
      <c r="B101" s="66">
        <v>130</v>
      </c>
      <c r="C101" s="66">
        <v>50</v>
      </c>
      <c r="D101" s="67" t="s">
        <v>70</v>
      </c>
      <c r="E101" s="67">
        <v>13</v>
      </c>
      <c r="F101" s="67">
        <v>4</v>
      </c>
      <c r="G101" s="67">
        <v>113.37</v>
      </c>
      <c r="H101" s="67">
        <v>19.38</v>
      </c>
      <c r="I101" s="67">
        <v>6.27</v>
      </c>
      <c r="J101" s="109">
        <v>1</v>
      </c>
      <c r="K101" s="68">
        <f t="shared" si="26"/>
        <v>2072033.3409749996</v>
      </c>
      <c r="L101" s="77" t="s">
        <v>47</v>
      </c>
      <c r="M101" s="68">
        <f t="shared" si="37"/>
        <v>2072033.3409749996</v>
      </c>
      <c r="N101" s="68">
        <f t="shared" si="27"/>
        <v>1772033.3409749996</v>
      </c>
      <c r="O101" s="68">
        <f t="shared" si="28"/>
        <v>2142482.4745681495</v>
      </c>
      <c r="P101" s="68">
        <f t="shared" si="29"/>
        <v>370449.13359314995</v>
      </c>
      <c r="Q101" s="68">
        <f t="shared" si="30"/>
        <v>1772033.3409749996</v>
      </c>
      <c r="R101" s="70" t="s">
        <v>69</v>
      </c>
      <c r="S101" s="109">
        <v>50</v>
      </c>
      <c r="T101" s="72">
        <f t="shared" si="31"/>
        <v>19.38</v>
      </c>
      <c r="U101" s="72">
        <f t="shared" si="32"/>
        <v>0</v>
      </c>
      <c r="V101" s="73">
        <f t="shared" si="33"/>
        <v>0</v>
      </c>
      <c r="W101" s="73">
        <f t="shared" si="34"/>
        <v>0</v>
      </c>
      <c r="X101" s="68">
        <f t="shared" si="35"/>
        <v>414406.66819499992</v>
      </c>
      <c r="Y101" s="74">
        <f t="shared" si="36"/>
        <v>300000</v>
      </c>
      <c r="Z101" s="62">
        <f t="array" ref="Z101">_xlfn.IFS(AND(F101=3,G101&gt;90),(90*1)+((G101-90)*0.15),AND(F101=3.5,G101&gt;100),(100*1)+((G101-100)*0.15),AND(F101=4,G101&gt;110),(110*1)+((G101-110)*0.15),AND(F101=4.5,G101&gt;120),(120*1)+((G101-120)*0.15),AND(F101=5,G101&gt;125),(125*1)+((G101-125)*0.15),AND(F101=5.5,G101&gt;135),(135*1)+((G101-135)*0.15),AND(F101=6,G101&gt;145),(145*1)+((G101-145)*0.15),TRUE(),G101)</f>
        <v>110.5055</v>
      </c>
      <c r="AA101" s="63">
        <v>0</v>
      </c>
      <c r="AD101" s="138" t="s">
        <v>54</v>
      </c>
      <c r="AE101" s="64" t="b">
        <f t="shared" si="38"/>
        <v>0</v>
      </c>
      <c r="AI101" s="64" t="e">
        <f>L101='[1]מחיר מטרה-שקבלתי מאסתר'!L101</f>
        <v>#REF!</v>
      </c>
    </row>
    <row r="102" spans="1:35" ht="31.2" x14ac:dyDescent="0.3">
      <c r="A102" s="65" t="s">
        <v>67</v>
      </c>
      <c r="B102" s="66">
        <v>130</v>
      </c>
      <c r="C102" s="66">
        <v>51</v>
      </c>
      <c r="D102" s="79" t="s">
        <v>71</v>
      </c>
      <c r="E102" s="79">
        <v>13</v>
      </c>
      <c r="F102" s="67">
        <v>4</v>
      </c>
      <c r="G102" s="79">
        <v>103.79</v>
      </c>
      <c r="H102" s="79">
        <v>14.98</v>
      </c>
      <c r="I102" s="79">
        <v>6.51</v>
      </c>
      <c r="J102" s="109">
        <v>1</v>
      </c>
      <c r="K102" s="68">
        <f t="shared" si="26"/>
        <v>1935881.31672</v>
      </c>
      <c r="L102" s="79" t="s">
        <v>54</v>
      </c>
      <c r="M102" s="68">
        <f t="shared" si="37"/>
        <v>1935881.31672</v>
      </c>
      <c r="N102" s="68">
        <f t="shared" si="27"/>
        <v>1635881.31672</v>
      </c>
      <c r="O102" s="68">
        <f t="shared" si="28"/>
        <v>2001701.28148848</v>
      </c>
      <c r="P102" s="68">
        <f t="shared" si="29"/>
        <v>365819.96476848004</v>
      </c>
      <c r="Q102" s="68">
        <f t="shared" si="30"/>
        <v>1635881.31672</v>
      </c>
      <c r="R102" s="70" t="s">
        <v>69</v>
      </c>
      <c r="S102" s="109">
        <v>51</v>
      </c>
      <c r="T102" s="72">
        <f t="shared" si="31"/>
        <v>14.98</v>
      </c>
      <c r="U102" s="72">
        <f t="shared" si="32"/>
        <v>0</v>
      </c>
      <c r="V102" s="73">
        <f t="shared" si="33"/>
        <v>0</v>
      </c>
      <c r="W102" s="73">
        <f t="shared" si="34"/>
        <v>0</v>
      </c>
      <c r="X102" s="68">
        <f t="shared" si="35"/>
        <v>387176.26334400004</v>
      </c>
      <c r="Y102" s="74">
        <f t="shared" si="36"/>
        <v>300000</v>
      </c>
      <c r="Z102" s="62">
        <f t="array" ref="Z102">_xlfn.IFS(AND(F102=3,G102&gt;90),(90*1)+((G102-90)*0.15),AND(F102=3.5,G102&gt;100),(100*1)+((G102-100)*0.15),AND(F102=4,G102&gt;110),(110*1)+((G102-110)*0.15),AND(F102=4.5,G102&gt;120),(120*1)+((G102-120)*0.15),AND(F102=5,G102&gt;125),(125*1)+((G102-125)*0.15),AND(F102=5.5,G102&gt;135),(135*1)+((G102-135)*0.15),AND(F102=6,G102&gt;145),(145*1)+((G102-145)*0.15),TRUE(),G102)</f>
        <v>103.79</v>
      </c>
      <c r="AA102" s="63">
        <v>0</v>
      </c>
      <c r="AD102" s="136" t="s">
        <v>47</v>
      </c>
      <c r="AE102" s="64" t="b">
        <f t="shared" si="38"/>
        <v>0</v>
      </c>
      <c r="AI102" s="64" t="e">
        <f>L102='[1]מחיר מטרה-שקבלתי מאסתר'!L102</f>
        <v>#REF!</v>
      </c>
    </row>
    <row r="103" spans="1:35" ht="27" customHeight="1" x14ac:dyDescent="0.3">
      <c r="A103" s="65" t="s">
        <v>67</v>
      </c>
      <c r="B103" s="66">
        <v>130</v>
      </c>
      <c r="C103" s="66">
        <v>52</v>
      </c>
      <c r="D103" s="79" t="s">
        <v>75</v>
      </c>
      <c r="E103" s="79">
        <v>13</v>
      </c>
      <c r="F103" s="67">
        <v>3</v>
      </c>
      <c r="G103" s="79">
        <v>84.76</v>
      </c>
      <c r="H103" s="79">
        <v>12</v>
      </c>
      <c r="I103" s="79">
        <v>6.69</v>
      </c>
      <c r="J103" s="109">
        <v>1</v>
      </c>
      <c r="K103" s="68">
        <f t="shared" si="26"/>
        <v>1595445.52284</v>
      </c>
      <c r="L103" s="77" t="s">
        <v>47</v>
      </c>
      <c r="M103" s="68">
        <f t="shared" si="37"/>
        <v>1595445.52284</v>
      </c>
      <c r="N103" s="68">
        <f t="shared" si="27"/>
        <v>1295445.52284</v>
      </c>
      <c r="O103" s="68">
        <f t="shared" si="28"/>
        <v>1649690.6706165601</v>
      </c>
      <c r="P103" s="68">
        <f t="shared" si="29"/>
        <v>354245.14777656016</v>
      </c>
      <c r="Q103" s="68">
        <f t="shared" si="30"/>
        <v>1295445.52284</v>
      </c>
      <c r="R103" s="70" t="s">
        <v>69</v>
      </c>
      <c r="S103" s="109">
        <v>52</v>
      </c>
      <c r="T103" s="72">
        <f t="shared" si="31"/>
        <v>12</v>
      </c>
      <c r="U103" s="72">
        <f t="shared" si="32"/>
        <v>0</v>
      </c>
      <c r="V103" s="73">
        <f t="shared" si="33"/>
        <v>0</v>
      </c>
      <c r="W103" s="73">
        <f t="shared" si="34"/>
        <v>0</v>
      </c>
      <c r="X103" s="68">
        <f t="shared" si="35"/>
        <v>319089.10456800001</v>
      </c>
      <c r="Y103" s="74">
        <f t="shared" si="36"/>
        <v>300000</v>
      </c>
      <c r="Z103" s="62">
        <f t="array" ref="Z103">_xlfn.IFS(AND(F103=3,G103&gt;90),(90*1)+((G103-90)*0.15),AND(F103=3.5,G103&gt;100),(100*1)+((G103-100)*0.15),AND(F103=4,G103&gt;110),(110*1)+((G103-110)*0.15),AND(F103=4.5,G103&gt;120),(120*1)+((G103-120)*0.15),AND(F103=5,G103&gt;125),(125*1)+((G103-125)*0.15),AND(F103=5.5,G103&gt;135),(135*1)+((G103-135)*0.15),AND(F103=6,G103&gt;145),(145*1)+((G103-145)*0.15),TRUE(),G103)</f>
        <v>84.76</v>
      </c>
      <c r="AA103" s="63">
        <v>0</v>
      </c>
      <c r="AD103" s="136" t="s">
        <v>47</v>
      </c>
      <c r="AE103" s="64" t="b">
        <f t="shared" si="38"/>
        <v>1</v>
      </c>
      <c r="AI103" s="64" t="e">
        <f>L103='[1]מחיר מטרה-שקבלתי מאסתר'!L103</f>
        <v>#REF!</v>
      </c>
    </row>
    <row r="104" spans="1:35" ht="14.25" customHeight="1" x14ac:dyDescent="0.3">
      <c r="A104" s="65" t="s">
        <v>67</v>
      </c>
      <c r="B104" s="66">
        <v>130</v>
      </c>
      <c r="C104" s="66">
        <v>53</v>
      </c>
      <c r="D104" s="67" t="s">
        <v>76</v>
      </c>
      <c r="E104" s="67">
        <v>14</v>
      </c>
      <c r="F104" s="67">
        <v>5</v>
      </c>
      <c r="G104" s="67">
        <v>125.32</v>
      </c>
      <c r="H104" s="67">
        <v>15</v>
      </c>
      <c r="I104" s="67">
        <v>6.25</v>
      </c>
      <c r="J104" s="109">
        <v>1</v>
      </c>
      <c r="K104" s="68">
        <f t="shared" si="26"/>
        <v>2298747.59712</v>
      </c>
      <c r="L104" s="69" t="s">
        <v>47</v>
      </c>
      <c r="M104" s="68">
        <f t="shared" si="37"/>
        <v>2310241.3351055998</v>
      </c>
      <c r="N104" s="68">
        <f t="shared" si="27"/>
        <v>2010241.3351055998</v>
      </c>
      <c r="O104" s="68">
        <f t="shared" si="28"/>
        <v>2388789.5404991903</v>
      </c>
      <c r="P104" s="68">
        <f t="shared" si="29"/>
        <v>378548.2053935905</v>
      </c>
      <c r="Q104" s="68">
        <f t="shared" si="30"/>
        <v>2010241.3351055998</v>
      </c>
      <c r="R104" s="78" t="s">
        <v>69</v>
      </c>
      <c r="S104" s="109">
        <v>53</v>
      </c>
      <c r="T104" s="72">
        <f t="shared" si="31"/>
        <v>15</v>
      </c>
      <c r="U104" s="72">
        <f t="shared" si="32"/>
        <v>0</v>
      </c>
      <c r="V104" s="73">
        <f t="shared" si="33"/>
        <v>0</v>
      </c>
      <c r="W104" s="73">
        <f t="shared" si="34"/>
        <v>0</v>
      </c>
      <c r="X104" s="68">
        <f t="shared" si="35"/>
        <v>459749.51942400006</v>
      </c>
      <c r="Y104" s="74">
        <f t="shared" si="36"/>
        <v>300000</v>
      </c>
      <c r="Z104" s="62">
        <f t="array" ref="Z104">_xlfn.IFS(AND(F104=3,G104&gt;90),(90*1)+((G104-90)*0.15),AND(F104=3.5,G104&gt;100),(100*1)+((G104-100)*0.15),AND(F104=4,G104&gt;110),(110*1)+((G104-110)*0.15),AND(F104=4.5,G104&gt;120),(120*1)+((G104-120)*0.15),AND(F104=5,G104&gt;125),(125*1)+((G104-125)*0.15),AND(F104=5.5,G104&gt;135),(135*1)+((G104-135)*0.15),AND(F104=6,G104&gt;145),(145*1)+((G104-145)*0.15),TRUE(),G104)</f>
        <v>125.048</v>
      </c>
      <c r="AA104" s="140">
        <v>5.0000000000000001E-3</v>
      </c>
      <c r="AD104" s="138" t="s">
        <v>54</v>
      </c>
      <c r="AE104" s="64" t="b">
        <f t="shared" si="38"/>
        <v>0</v>
      </c>
      <c r="AI104" s="64" t="e">
        <f>L104='[1]מחיר מטרה-שקבלתי מאסתר'!L104</f>
        <v>#REF!</v>
      </c>
    </row>
    <row r="105" spans="1:35" ht="15.6" x14ac:dyDescent="0.3">
      <c r="A105" s="65" t="s">
        <v>67</v>
      </c>
      <c r="B105" s="66">
        <v>130</v>
      </c>
      <c r="C105" s="66">
        <v>54</v>
      </c>
      <c r="D105" s="67" t="s">
        <v>73</v>
      </c>
      <c r="E105" s="67">
        <v>14</v>
      </c>
      <c r="F105" s="67">
        <v>4</v>
      </c>
      <c r="G105" s="67">
        <v>113.37</v>
      </c>
      <c r="H105" s="67">
        <v>14.77</v>
      </c>
      <c r="I105" s="67">
        <v>6.27</v>
      </c>
      <c r="J105" s="109">
        <v>1</v>
      </c>
      <c r="K105" s="68">
        <f t="shared" si="26"/>
        <v>2048316.7027049996</v>
      </c>
      <c r="L105" s="77" t="s">
        <v>47</v>
      </c>
      <c r="M105" s="68">
        <f t="shared" si="37"/>
        <v>2058558.2862185244</v>
      </c>
      <c r="N105" s="68">
        <f t="shared" si="27"/>
        <v>1758558.2862185244</v>
      </c>
      <c r="O105" s="68">
        <f t="shared" si="28"/>
        <v>2128549.2679499541</v>
      </c>
      <c r="P105" s="68">
        <f t="shared" si="29"/>
        <v>369990.9817314297</v>
      </c>
      <c r="Q105" s="68">
        <f t="shared" si="30"/>
        <v>1758558.2862185244</v>
      </c>
      <c r="R105" s="78" t="s">
        <v>69</v>
      </c>
      <c r="S105" s="109">
        <v>54</v>
      </c>
      <c r="T105" s="72">
        <f t="shared" si="31"/>
        <v>14.77</v>
      </c>
      <c r="U105" s="72">
        <f t="shared" si="32"/>
        <v>0</v>
      </c>
      <c r="V105" s="73">
        <f t="shared" si="33"/>
        <v>0</v>
      </c>
      <c r="W105" s="73">
        <f t="shared" si="34"/>
        <v>0</v>
      </c>
      <c r="X105" s="68">
        <f t="shared" si="35"/>
        <v>409663.34054099995</v>
      </c>
      <c r="Y105" s="74">
        <f t="shared" si="36"/>
        <v>300000</v>
      </c>
      <c r="Z105" s="62">
        <f t="array" ref="Z105">_xlfn.IFS(AND(F105=3,G105&gt;90),(90*1)+((G105-90)*0.15),AND(F105=3.5,G105&gt;100),(100*1)+((G105-100)*0.15),AND(F105=4,G105&gt;110),(110*1)+((G105-110)*0.15),AND(F105=4.5,G105&gt;120),(120*1)+((G105-120)*0.15),AND(F105=5,G105&gt;125),(125*1)+((G105-125)*0.15),AND(F105=5.5,G105&gt;135),(135*1)+((G105-135)*0.15),AND(F105=6,G105&gt;145),(145*1)+((G105-145)*0.15),TRUE(),G105)</f>
        <v>110.5055</v>
      </c>
      <c r="AA105" s="140">
        <v>5.0000000000000001E-3</v>
      </c>
      <c r="AD105" s="138" t="s">
        <v>54</v>
      </c>
      <c r="AE105" s="64" t="b">
        <f t="shared" si="38"/>
        <v>0</v>
      </c>
      <c r="AI105" s="64" t="e">
        <f>L105='[1]מחיר מטרה-שקבלתי מאסתר'!L105</f>
        <v>#REF!</v>
      </c>
    </row>
    <row r="106" spans="1:35" ht="15.6" x14ac:dyDescent="0.3">
      <c r="A106" s="65" t="s">
        <v>67</v>
      </c>
      <c r="B106" s="66">
        <v>130</v>
      </c>
      <c r="C106" s="66">
        <v>55</v>
      </c>
      <c r="D106" s="79" t="s">
        <v>71</v>
      </c>
      <c r="E106" s="79">
        <v>14</v>
      </c>
      <c r="F106" s="67">
        <v>4</v>
      </c>
      <c r="G106" s="79">
        <v>103.79</v>
      </c>
      <c r="H106" s="79">
        <v>14.98</v>
      </c>
      <c r="I106" s="79">
        <v>6.51</v>
      </c>
      <c r="J106" s="109">
        <v>1</v>
      </c>
      <c r="K106" s="68">
        <f t="shared" si="26"/>
        <v>1935881.31672</v>
      </c>
      <c r="L106" s="79" t="s">
        <v>54</v>
      </c>
      <c r="M106" s="68">
        <f t="shared" si="37"/>
        <v>1945560.7233035997</v>
      </c>
      <c r="N106" s="68">
        <f t="shared" si="27"/>
        <v>1645560.7233035997</v>
      </c>
      <c r="O106" s="68">
        <f t="shared" si="28"/>
        <v>2011709.7878959221</v>
      </c>
      <c r="P106" s="68">
        <f t="shared" si="29"/>
        <v>366149.06459232233</v>
      </c>
      <c r="Q106" s="68">
        <f t="shared" si="30"/>
        <v>1645560.7233035997</v>
      </c>
      <c r="R106" s="78" t="s">
        <v>69</v>
      </c>
      <c r="S106" s="109">
        <v>55</v>
      </c>
      <c r="T106" s="72">
        <f t="shared" si="31"/>
        <v>14.98</v>
      </c>
      <c r="U106" s="72">
        <f t="shared" si="32"/>
        <v>0</v>
      </c>
      <c r="V106" s="73">
        <f t="shared" si="33"/>
        <v>0</v>
      </c>
      <c r="W106" s="73">
        <f t="shared" si="34"/>
        <v>0</v>
      </c>
      <c r="X106" s="68">
        <f t="shared" si="35"/>
        <v>387176.26334400004</v>
      </c>
      <c r="Y106" s="74">
        <f t="shared" si="36"/>
        <v>300000</v>
      </c>
      <c r="Z106" s="62">
        <f t="array" ref="Z106">_xlfn.IFS(AND(F106=3,G106&gt;90),(90*1)+((G106-90)*0.15),AND(F106=3.5,G106&gt;100),(100*1)+((G106-100)*0.15),AND(F106=4,G106&gt;110),(110*1)+((G106-110)*0.15),AND(F106=4.5,G106&gt;120),(120*1)+((G106-120)*0.15),AND(F106=5,G106&gt;125),(125*1)+((G106-125)*0.15),AND(F106=5.5,G106&gt;135),(135*1)+((G106-135)*0.15),AND(F106=6,G106&gt;145),(145*1)+((G106-145)*0.15),TRUE(),G106)</f>
        <v>103.79</v>
      </c>
      <c r="AA106" s="140">
        <v>5.0000000000000001E-3</v>
      </c>
      <c r="AD106" s="136" t="s">
        <v>47</v>
      </c>
      <c r="AE106" s="64" t="b">
        <f t="shared" si="38"/>
        <v>0</v>
      </c>
      <c r="AI106" s="64" t="e">
        <f>L106='[1]מחיר מטרה-שקבלתי מאסתר'!L106</f>
        <v>#REF!</v>
      </c>
    </row>
    <row r="107" spans="1:35" ht="15.6" x14ac:dyDescent="0.3">
      <c r="A107" s="65" t="s">
        <v>67</v>
      </c>
      <c r="B107" s="66">
        <v>130</v>
      </c>
      <c r="C107" s="66">
        <v>56</v>
      </c>
      <c r="D107" s="67" t="s">
        <v>75</v>
      </c>
      <c r="E107" s="67">
        <v>14</v>
      </c>
      <c r="F107" s="67">
        <v>3</v>
      </c>
      <c r="G107" s="67">
        <v>84.76</v>
      </c>
      <c r="H107" s="67">
        <v>12</v>
      </c>
      <c r="I107" s="67">
        <v>6.69</v>
      </c>
      <c r="J107" s="109">
        <v>1</v>
      </c>
      <c r="K107" s="68">
        <f t="shared" si="26"/>
        <v>1595445.52284</v>
      </c>
      <c r="L107" s="77" t="s">
        <v>47</v>
      </c>
      <c r="M107" s="68">
        <f t="shared" si="37"/>
        <v>1603422.7504541997</v>
      </c>
      <c r="N107" s="68">
        <f t="shared" si="27"/>
        <v>1303422.7504541997</v>
      </c>
      <c r="O107" s="68">
        <f t="shared" si="28"/>
        <v>1657939.1239696427</v>
      </c>
      <c r="P107" s="68">
        <f t="shared" si="29"/>
        <v>354516.37351544295</v>
      </c>
      <c r="Q107" s="68">
        <f t="shared" si="30"/>
        <v>1303422.7504541997</v>
      </c>
      <c r="R107" s="78" t="s">
        <v>69</v>
      </c>
      <c r="S107" s="109">
        <v>56</v>
      </c>
      <c r="T107" s="72">
        <f t="shared" si="31"/>
        <v>12</v>
      </c>
      <c r="U107" s="72">
        <f t="shared" si="32"/>
        <v>0</v>
      </c>
      <c r="V107" s="73">
        <f t="shared" si="33"/>
        <v>0</v>
      </c>
      <c r="W107" s="73">
        <f t="shared" si="34"/>
        <v>0</v>
      </c>
      <c r="X107" s="68">
        <f t="shared" si="35"/>
        <v>319089.10456800001</v>
      </c>
      <c r="Y107" s="74">
        <f t="shared" si="36"/>
        <v>300000</v>
      </c>
      <c r="Z107" s="62">
        <f t="array" ref="Z107">_xlfn.IFS(AND(F107=3,G107&gt;90),(90*1)+((G107-90)*0.15),AND(F107=3.5,G107&gt;100),(100*1)+((G107-100)*0.15),AND(F107=4,G107&gt;110),(110*1)+((G107-110)*0.15),AND(F107=4.5,G107&gt;120),(120*1)+((G107-120)*0.15),AND(F107=5,G107&gt;125),(125*1)+((G107-125)*0.15),AND(F107=5.5,G107&gt;135),(135*1)+((G107-135)*0.15),AND(F107=6,G107&gt;145),(145*1)+((G107-145)*0.15),TRUE(),G107)</f>
        <v>84.76</v>
      </c>
      <c r="AA107" s="140">
        <v>5.0000000000000001E-3</v>
      </c>
      <c r="AD107" s="136" t="s">
        <v>47</v>
      </c>
      <c r="AE107" s="64" t="b">
        <f t="shared" si="38"/>
        <v>1</v>
      </c>
      <c r="AI107" s="64" t="e">
        <f>L107='[1]מחיר מטרה-שקבלתי מאסתר'!L107</f>
        <v>#REF!</v>
      </c>
    </row>
    <row r="108" spans="1:35" ht="14.25" customHeight="1" x14ac:dyDescent="0.3">
      <c r="A108" s="65" t="s">
        <v>67</v>
      </c>
      <c r="B108" s="66">
        <v>130</v>
      </c>
      <c r="C108" s="66">
        <v>57</v>
      </c>
      <c r="D108" s="67" t="s">
        <v>76</v>
      </c>
      <c r="E108" s="67">
        <v>15</v>
      </c>
      <c r="F108" s="67">
        <v>5</v>
      </c>
      <c r="G108" s="67">
        <v>125.32</v>
      </c>
      <c r="H108" s="67">
        <v>15</v>
      </c>
      <c r="I108" s="67">
        <v>6.25</v>
      </c>
      <c r="J108" s="109">
        <v>1</v>
      </c>
      <c r="K108" s="68">
        <f t="shared" ref="K108:K139" si="39">(SUMPRODUCT(H108:J108,$H$10:$J$10)+$G$10*Z108+SUMPRODUCT(T108:W108,$T$10:$W$10))*$K$8</f>
        <v>2298747.59712</v>
      </c>
      <c r="L108" s="69" t="s">
        <v>47</v>
      </c>
      <c r="M108" s="68">
        <f t="shared" si="37"/>
        <v>2321735.0730912001</v>
      </c>
      <c r="N108" s="68">
        <f t="shared" ref="N108:N139" si="40">M108-Y108</f>
        <v>2021735.0730912001</v>
      </c>
      <c r="O108" s="68">
        <f t="shared" ref="O108:O144" si="41">M108*(1+$K$9)</f>
        <v>2400674.065576301</v>
      </c>
      <c r="P108" s="68">
        <f t="shared" ref="P108:P139" si="42">O108-N108</f>
        <v>378938.99248510087</v>
      </c>
      <c r="Q108" s="68">
        <f t="shared" ref="Q108:Q139" si="43">IF(P108&lt;500000,N108,P108-500000+N108)</f>
        <v>2021735.0730912001</v>
      </c>
      <c r="R108" s="78" t="s">
        <v>69</v>
      </c>
      <c r="S108" s="109">
        <v>57</v>
      </c>
      <c r="T108" s="72">
        <f t="shared" ref="T108:T144" si="44">IF((H108)&gt;30,30,(H108))</f>
        <v>15</v>
      </c>
      <c r="U108" s="72">
        <f t="shared" ref="U108:U139" si="45">IF((H108-T108)&gt;30,30,(H108-T108))</f>
        <v>0</v>
      </c>
      <c r="V108" s="73">
        <f t="shared" ref="V108:V139" si="46">IF((H108)&gt;120,60,(H108-T108-U108))</f>
        <v>0</v>
      </c>
      <c r="W108" s="73">
        <f t="shared" ref="W108:W144" si="47">IF((H108)&gt;120,(H108-120),0)</f>
        <v>0</v>
      </c>
      <c r="X108" s="68">
        <f t="shared" ref="X108:X144" si="48">K108*0.2</f>
        <v>459749.51942400006</v>
      </c>
      <c r="Y108" s="74">
        <f t="shared" ref="Y108:Y139" si="49">IF(X108&gt;300000,300000,X108)</f>
        <v>300000</v>
      </c>
      <c r="Z108" s="62">
        <f t="array" ref="Z108">_xlfn.IFS(AND(F108=3,G108&gt;90),(90*1)+((G108-90)*0.15),AND(F108=3.5,G108&gt;100),(100*1)+((G108-100)*0.15),AND(F108=4,G108&gt;110),(110*1)+((G108-110)*0.15),AND(F108=4.5,G108&gt;120),(120*1)+((G108-120)*0.15),AND(F108=5,G108&gt;125),(125*1)+((G108-125)*0.15),AND(F108=5.5,G108&gt;135),(135*1)+((G108-135)*0.15),AND(F108=6,G108&gt;145),(145*1)+((G108-145)*0.15),TRUE(),G108)</f>
        <v>125.048</v>
      </c>
      <c r="AA108" s="140">
        <v>0.01</v>
      </c>
      <c r="AD108" s="138" t="s">
        <v>54</v>
      </c>
      <c r="AE108" s="64" t="b">
        <f t="shared" si="38"/>
        <v>0</v>
      </c>
      <c r="AI108" s="64" t="e">
        <f>L108='[1]מחיר מטרה-שקבלתי מאסתר'!L108</f>
        <v>#REF!</v>
      </c>
    </row>
    <row r="109" spans="1:35" ht="27" customHeight="1" x14ac:dyDescent="0.3">
      <c r="A109" s="65" t="s">
        <v>67</v>
      </c>
      <c r="B109" s="66">
        <v>130</v>
      </c>
      <c r="C109" s="66">
        <v>58</v>
      </c>
      <c r="D109" s="67" t="s">
        <v>70</v>
      </c>
      <c r="E109" s="67">
        <v>15</v>
      </c>
      <c r="F109" s="67">
        <v>4</v>
      </c>
      <c r="G109" s="67">
        <v>113.37</v>
      </c>
      <c r="H109" s="67">
        <v>19.38</v>
      </c>
      <c r="I109" s="67">
        <v>6.27</v>
      </c>
      <c r="J109" s="109">
        <v>1</v>
      </c>
      <c r="K109" s="68">
        <f t="shared" si="39"/>
        <v>2072033.3409749996</v>
      </c>
      <c r="L109" s="77" t="s">
        <v>47</v>
      </c>
      <c r="M109" s="68">
        <f t="shared" si="37"/>
        <v>2092753.6743847495</v>
      </c>
      <c r="N109" s="68">
        <f t="shared" si="40"/>
        <v>1792753.6743847495</v>
      </c>
      <c r="O109" s="68">
        <f t="shared" si="41"/>
        <v>2163907.2993138311</v>
      </c>
      <c r="P109" s="68">
        <f t="shared" si="42"/>
        <v>371153.62492908165</v>
      </c>
      <c r="Q109" s="68">
        <f t="shared" si="43"/>
        <v>1792753.6743847495</v>
      </c>
      <c r="R109" s="78" t="s">
        <v>69</v>
      </c>
      <c r="S109" s="109">
        <v>58</v>
      </c>
      <c r="T109" s="72">
        <f t="shared" si="44"/>
        <v>19.38</v>
      </c>
      <c r="U109" s="72">
        <f t="shared" si="45"/>
        <v>0</v>
      </c>
      <c r="V109" s="73">
        <f t="shared" si="46"/>
        <v>0</v>
      </c>
      <c r="W109" s="73">
        <f t="shared" si="47"/>
        <v>0</v>
      </c>
      <c r="X109" s="68">
        <f t="shared" si="48"/>
        <v>414406.66819499992</v>
      </c>
      <c r="Y109" s="74">
        <f t="shared" si="49"/>
        <v>300000</v>
      </c>
      <c r="Z109" s="62">
        <f t="array" ref="Z109">_xlfn.IFS(AND(F109=3,G109&gt;90),(90*1)+((G109-90)*0.15),AND(F109=3.5,G109&gt;100),(100*1)+((G109-100)*0.15),AND(F109=4,G109&gt;110),(110*1)+((G109-110)*0.15),AND(F109=4.5,G109&gt;120),(120*1)+((G109-120)*0.15),AND(F109=5,G109&gt;125),(125*1)+((G109-125)*0.15),AND(F109=5.5,G109&gt;135),(135*1)+((G109-135)*0.15),AND(F109=6,G109&gt;145),(145*1)+((G109-145)*0.15),TRUE(),G109)</f>
        <v>110.5055</v>
      </c>
      <c r="AA109" s="140">
        <v>0.01</v>
      </c>
      <c r="AD109" s="136" t="s">
        <v>54</v>
      </c>
      <c r="AE109" s="64" t="b">
        <f t="shared" si="38"/>
        <v>0</v>
      </c>
      <c r="AI109" s="64" t="e">
        <f>L109='[1]מחיר מטרה-שקבלתי מאסתר'!L109</f>
        <v>#REF!</v>
      </c>
    </row>
    <row r="110" spans="1:35" ht="14.25" customHeight="1" x14ac:dyDescent="0.3">
      <c r="A110" s="65" t="s">
        <v>67</v>
      </c>
      <c r="B110" s="66">
        <v>130</v>
      </c>
      <c r="C110" s="66">
        <v>59</v>
      </c>
      <c r="D110" s="79" t="s">
        <v>71</v>
      </c>
      <c r="E110" s="79">
        <v>15</v>
      </c>
      <c r="F110" s="67">
        <v>4</v>
      </c>
      <c r="G110" s="79">
        <v>103.79</v>
      </c>
      <c r="H110" s="79">
        <v>14.98</v>
      </c>
      <c r="I110" s="79">
        <v>6.51</v>
      </c>
      <c r="J110" s="109">
        <v>1</v>
      </c>
      <c r="K110" s="68">
        <f t="shared" si="39"/>
        <v>1935881.31672</v>
      </c>
      <c r="L110" s="79" t="s">
        <v>54</v>
      </c>
      <c r="M110" s="68">
        <f t="shared" si="37"/>
        <v>1955240.1298872</v>
      </c>
      <c r="N110" s="68">
        <f t="shared" si="40"/>
        <v>1655240.1298872</v>
      </c>
      <c r="O110" s="68">
        <f t="shared" si="41"/>
        <v>2021718.2943033648</v>
      </c>
      <c r="P110" s="68">
        <f t="shared" si="42"/>
        <v>366478.16441616486</v>
      </c>
      <c r="Q110" s="68">
        <f t="shared" si="43"/>
        <v>1655240.1298872</v>
      </c>
      <c r="R110" s="78" t="s">
        <v>69</v>
      </c>
      <c r="S110" s="109">
        <v>59</v>
      </c>
      <c r="T110" s="72">
        <f t="shared" si="44"/>
        <v>14.98</v>
      </c>
      <c r="U110" s="72">
        <f t="shared" si="45"/>
        <v>0</v>
      </c>
      <c r="V110" s="73">
        <f t="shared" si="46"/>
        <v>0</v>
      </c>
      <c r="W110" s="73">
        <f t="shared" si="47"/>
        <v>0</v>
      </c>
      <c r="X110" s="68">
        <f t="shared" si="48"/>
        <v>387176.26334400004</v>
      </c>
      <c r="Y110" s="74">
        <f t="shared" si="49"/>
        <v>300000</v>
      </c>
      <c r="Z110" s="62">
        <f t="array" ref="Z110">_xlfn.IFS(AND(F110=3,G110&gt;90),(90*1)+((G110-90)*0.15),AND(F110=3.5,G110&gt;100),(100*1)+((G110-100)*0.15),AND(F110=4,G110&gt;110),(110*1)+((G110-110)*0.15),AND(F110=4.5,G110&gt;120),(120*1)+((G110-120)*0.15),AND(F110=5,G110&gt;125),(125*1)+((G110-125)*0.15),AND(F110=5.5,G110&gt;135),(135*1)+((G110-135)*0.15),AND(F110=6,G110&gt;145),(145*1)+((G110-145)*0.15),TRUE(),G110)</f>
        <v>103.79</v>
      </c>
      <c r="AA110" s="140">
        <v>0.01</v>
      </c>
      <c r="AD110" s="136" t="s">
        <v>47</v>
      </c>
      <c r="AE110" s="64" t="b">
        <f t="shared" si="38"/>
        <v>0</v>
      </c>
      <c r="AI110" s="64" t="e">
        <f>L110='[1]מחיר מטרה-שקבלתי מאסתר'!L110</f>
        <v>#REF!</v>
      </c>
    </row>
    <row r="111" spans="1:35" ht="14.25" customHeight="1" x14ac:dyDescent="0.3">
      <c r="A111" s="65" t="s">
        <v>67</v>
      </c>
      <c r="B111" s="66">
        <v>130</v>
      </c>
      <c r="C111" s="66">
        <v>60</v>
      </c>
      <c r="D111" s="67" t="s">
        <v>75</v>
      </c>
      <c r="E111" s="67">
        <v>15</v>
      </c>
      <c r="F111" s="67">
        <v>3</v>
      </c>
      <c r="G111" s="67">
        <v>84.76</v>
      </c>
      <c r="H111" s="67">
        <v>12</v>
      </c>
      <c r="I111" s="67">
        <v>6.69</v>
      </c>
      <c r="J111" s="109">
        <v>1</v>
      </c>
      <c r="K111" s="68">
        <f t="shared" si="39"/>
        <v>1595445.52284</v>
      </c>
      <c r="L111" s="77" t="s">
        <v>47</v>
      </c>
      <c r="M111" s="68">
        <f t="shared" si="37"/>
        <v>1611399.9780683999</v>
      </c>
      <c r="N111" s="68">
        <f t="shared" si="40"/>
        <v>1311399.9780683999</v>
      </c>
      <c r="O111" s="68">
        <f t="shared" si="41"/>
        <v>1666187.5773227257</v>
      </c>
      <c r="P111" s="68">
        <f t="shared" si="42"/>
        <v>354787.59925432573</v>
      </c>
      <c r="Q111" s="68">
        <f t="shared" si="43"/>
        <v>1311399.9780683999</v>
      </c>
      <c r="R111" s="78" t="s">
        <v>69</v>
      </c>
      <c r="S111" s="109">
        <v>60</v>
      </c>
      <c r="T111" s="72">
        <f t="shared" si="44"/>
        <v>12</v>
      </c>
      <c r="U111" s="72">
        <f t="shared" si="45"/>
        <v>0</v>
      </c>
      <c r="V111" s="73">
        <f t="shared" si="46"/>
        <v>0</v>
      </c>
      <c r="W111" s="73">
        <f t="shared" si="47"/>
        <v>0</v>
      </c>
      <c r="X111" s="68">
        <f t="shared" si="48"/>
        <v>319089.10456800001</v>
      </c>
      <c r="Y111" s="74">
        <f t="shared" si="49"/>
        <v>300000</v>
      </c>
      <c r="Z111" s="62">
        <f t="array" ref="Z111">_xlfn.IFS(AND(F111=3,G111&gt;90),(90*1)+((G111-90)*0.15),AND(F111=3.5,G111&gt;100),(100*1)+((G111-100)*0.15),AND(F111=4,G111&gt;110),(110*1)+((G111-110)*0.15),AND(F111=4.5,G111&gt;120),(120*1)+((G111-120)*0.15),AND(F111=5,G111&gt;125),(125*1)+((G111-125)*0.15),AND(F111=5.5,G111&gt;135),(135*1)+((G111-135)*0.15),AND(F111=6,G111&gt;145),(145*1)+((G111-145)*0.15),TRUE(),G111)</f>
        <v>84.76</v>
      </c>
      <c r="AA111" s="140">
        <v>0.01</v>
      </c>
      <c r="AD111" s="136" t="s">
        <v>47</v>
      </c>
      <c r="AE111" s="64" t="b">
        <f t="shared" si="38"/>
        <v>1</v>
      </c>
      <c r="AI111" s="64" t="e">
        <f>L111='[1]מחיר מטרה-שקבלתי מאסתר'!L111</f>
        <v>#REF!</v>
      </c>
    </row>
    <row r="112" spans="1:35" ht="14.25" customHeight="1" x14ac:dyDescent="0.3">
      <c r="A112" s="65" t="s">
        <v>67</v>
      </c>
      <c r="B112" s="66">
        <v>130</v>
      </c>
      <c r="C112" s="66">
        <v>61</v>
      </c>
      <c r="D112" s="67" t="s">
        <v>76</v>
      </c>
      <c r="E112" s="67">
        <v>16</v>
      </c>
      <c r="F112" s="67">
        <v>5</v>
      </c>
      <c r="G112" s="67">
        <v>125.32</v>
      </c>
      <c r="H112" s="67">
        <v>15</v>
      </c>
      <c r="I112" s="67">
        <v>6.25</v>
      </c>
      <c r="J112" s="109">
        <v>1</v>
      </c>
      <c r="K112" s="68">
        <f t="shared" si="39"/>
        <v>2298747.59712</v>
      </c>
      <c r="L112" s="69" t="s">
        <v>47</v>
      </c>
      <c r="M112" s="68">
        <f t="shared" si="37"/>
        <v>2333228.8110767999</v>
      </c>
      <c r="N112" s="68">
        <f t="shared" si="40"/>
        <v>2033228.8110767999</v>
      </c>
      <c r="O112" s="68">
        <f t="shared" si="41"/>
        <v>2412558.5906534111</v>
      </c>
      <c r="P112" s="68">
        <f t="shared" si="42"/>
        <v>379329.77957661124</v>
      </c>
      <c r="Q112" s="68">
        <f t="shared" si="43"/>
        <v>2033228.8110767999</v>
      </c>
      <c r="R112" s="78" t="s">
        <v>69</v>
      </c>
      <c r="S112" s="109">
        <v>61</v>
      </c>
      <c r="T112" s="72">
        <f t="shared" si="44"/>
        <v>15</v>
      </c>
      <c r="U112" s="72">
        <f t="shared" si="45"/>
        <v>0</v>
      </c>
      <c r="V112" s="73">
        <f t="shared" si="46"/>
        <v>0</v>
      </c>
      <c r="W112" s="73">
        <f t="shared" si="47"/>
        <v>0</v>
      </c>
      <c r="X112" s="68">
        <f t="shared" si="48"/>
        <v>459749.51942400006</v>
      </c>
      <c r="Y112" s="74">
        <f t="shared" si="49"/>
        <v>300000</v>
      </c>
      <c r="Z112" s="62">
        <f t="array" ref="Z112">_xlfn.IFS(AND(F112=3,G112&gt;90),(90*1)+((G112-90)*0.15),AND(F112=3.5,G112&gt;100),(100*1)+((G112-100)*0.15),AND(F112=4,G112&gt;110),(110*1)+((G112-110)*0.15),AND(F112=4.5,G112&gt;120),(120*1)+((G112-120)*0.15),AND(F112=5,G112&gt;125),(125*1)+((G112-125)*0.15),AND(F112=5.5,G112&gt;135),(135*1)+((G112-135)*0.15),AND(F112=6,G112&gt;145),(145*1)+((G112-145)*0.15),TRUE(),G112)</f>
        <v>125.048</v>
      </c>
      <c r="AA112" s="140">
        <v>1.4999999999999999E-2</v>
      </c>
      <c r="AD112" s="138" t="s">
        <v>54</v>
      </c>
      <c r="AE112" s="64" t="b">
        <f t="shared" si="38"/>
        <v>0</v>
      </c>
      <c r="AI112" s="64" t="e">
        <f>L112='[1]מחיר מטרה-שקבלתי מאסתר'!L112</f>
        <v>#REF!</v>
      </c>
    </row>
    <row r="113" spans="1:35" ht="15.6" x14ac:dyDescent="0.3">
      <c r="A113" s="65" t="s">
        <v>67</v>
      </c>
      <c r="B113" s="66">
        <v>130</v>
      </c>
      <c r="C113" s="66">
        <v>62</v>
      </c>
      <c r="D113" s="67" t="s">
        <v>73</v>
      </c>
      <c r="E113" s="67">
        <v>16</v>
      </c>
      <c r="F113" s="67">
        <v>4</v>
      </c>
      <c r="G113" s="67">
        <v>113.37</v>
      </c>
      <c r="H113" s="67">
        <v>14.77</v>
      </c>
      <c r="I113" s="67">
        <v>6.27</v>
      </c>
      <c r="J113" s="109">
        <v>1</v>
      </c>
      <c r="K113" s="68">
        <f t="shared" si="39"/>
        <v>2048316.7027049996</v>
      </c>
      <c r="L113" s="77" t="s">
        <v>47</v>
      </c>
      <c r="M113" s="68">
        <f t="shared" si="37"/>
        <v>2079041.4532455744</v>
      </c>
      <c r="N113" s="68">
        <f t="shared" si="40"/>
        <v>1779041.4532455744</v>
      </c>
      <c r="O113" s="68">
        <f t="shared" si="41"/>
        <v>2149728.8626559242</v>
      </c>
      <c r="P113" s="68">
        <f t="shared" si="42"/>
        <v>370687.40941034979</v>
      </c>
      <c r="Q113" s="68">
        <f t="shared" si="43"/>
        <v>1779041.4532455744</v>
      </c>
      <c r="R113" s="78" t="s">
        <v>69</v>
      </c>
      <c r="S113" s="109">
        <v>62</v>
      </c>
      <c r="T113" s="72">
        <f t="shared" si="44"/>
        <v>14.77</v>
      </c>
      <c r="U113" s="72">
        <f t="shared" si="45"/>
        <v>0</v>
      </c>
      <c r="V113" s="73">
        <f t="shared" si="46"/>
        <v>0</v>
      </c>
      <c r="W113" s="73">
        <f t="shared" si="47"/>
        <v>0</v>
      </c>
      <c r="X113" s="68">
        <f t="shared" si="48"/>
        <v>409663.34054099995</v>
      </c>
      <c r="Y113" s="74">
        <f t="shared" si="49"/>
        <v>300000</v>
      </c>
      <c r="Z113" s="62">
        <f t="array" ref="Z113">_xlfn.IFS(AND(F113=3,G113&gt;90),(90*1)+((G113-90)*0.15),AND(F113=3.5,G113&gt;100),(100*1)+((G113-100)*0.15),AND(F113=4,G113&gt;110),(110*1)+((G113-110)*0.15),AND(F113=4.5,G113&gt;120),(120*1)+((G113-120)*0.15),AND(F113=5,G113&gt;125),(125*1)+((G113-125)*0.15),AND(F113=5.5,G113&gt;135),(135*1)+((G113-135)*0.15),AND(F113=6,G113&gt;145),(145*1)+((G113-145)*0.15),TRUE(),G113)</f>
        <v>110.5055</v>
      </c>
      <c r="AA113" s="140">
        <v>1.4999999999999999E-2</v>
      </c>
      <c r="AD113" s="136" t="s">
        <v>54</v>
      </c>
      <c r="AE113" s="64" t="b">
        <f t="shared" si="38"/>
        <v>0</v>
      </c>
      <c r="AI113" s="64" t="e">
        <f>L113='[1]מחיר מטרה-שקבלתי מאסתר'!L113</f>
        <v>#REF!</v>
      </c>
    </row>
    <row r="114" spans="1:35" ht="14.25" customHeight="1" x14ac:dyDescent="0.3">
      <c r="A114" s="65" t="s">
        <v>67</v>
      </c>
      <c r="B114" s="66">
        <v>130</v>
      </c>
      <c r="C114" s="66">
        <v>63</v>
      </c>
      <c r="D114" s="79" t="s">
        <v>71</v>
      </c>
      <c r="E114" s="79">
        <v>16</v>
      </c>
      <c r="F114" s="67">
        <v>4</v>
      </c>
      <c r="G114" s="79">
        <v>103.79</v>
      </c>
      <c r="H114" s="79">
        <v>14.98</v>
      </c>
      <c r="I114" s="79">
        <v>6.51</v>
      </c>
      <c r="J114" s="109">
        <v>1</v>
      </c>
      <c r="K114" s="68">
        <f t="shared" si="39"/>
        <v>1935881.31672</v>
      </c>
      <c r="L114" s="79" t="s">
        <v>54</v>
      </c>
      <c r="M114" s="68">
        <f t="shared" si="37"/>
        <v>1964919.5364707997</v>
      </c>
      <c r="N114" s="68">
        <f t="shared" si="40"/>
        <v>1664919.5364707997</v>
      </c>
      <c r="O114" s="68">
        <f t="shared" si="41"/>
        <v>2031726.8007108069</v>
      </c>
      <c r="P114" s="68">
        <f t="shared" si="42"/>
        <v>366807.26424000715</v>
      </c>
      <c r="Q114" s="68">
        <f t="shared" si="43"/>
        <v>1664919.5364707997</v>
      </c>
      <c r="R114" s="78" t="s">
        <v>69</v>
      </c>
      <c r="S114" s="109">
        <v>63</v>
      </c>
      <c r="T114" s="72">
        <f t="shared" si="44"/>
        <v>14.98</v>
      </c>
      <c r="U114" s="72">
        <f t="shared" si="45"/>
        <v>0</v>
      </c>
      <c r="V114" s="73">
        <f t="shared" si="46"/>
        <v>0</v>
      </c>
      <c r="W114" s="73">
        <f t="shared" si="47"/>
        <v>0</v>
      </c>
      <c r="X114" s="68">
        <f t="shared" si="48"/>
        <v>387176.26334400004</v>
      </c>
      <c r="Y114" s="74">
        <f t="shared" si="49"/>
        <v>300000</v>
      </c>
      <c r="Z114" s="62">
        <f t="array" ref="Z114">_xlfn.IFS(AND(F114=3,G114&gt;90),(90*1)+((G114-90)*0.15),AND(F114=3.5,G114&gt;100),(100*1)+((G114-100)*0.15),AND(F114=4,G114&gt;110),(110*1)+((G114-110)*0.15),AND(F114=4.5,G114&gt;120),(120*1)+((G114-120)*0.15),AND(F114=5,G114&gt;125),(125*1)+((G114-125)*0.15),AND(F114=5.5,G114&gt;135),(135*1)+((G114-135)*0.15),AND(F114=6,G114&gt;145),(145*1)+((G114-145)*0.15),TRUE(),G114)</f>
        <v>103.79</v>
      </c>
      <c r="AA114" s="140">
        <v>1.4999999999999999E-2</v>
      </c>
      <c r="AD114" s="136" t="s">
        <v>47</v>
      </c>
      <c r="AE114" s="64" t="b">
        <f t="shared" si="38"/>
        <v>0</v>
      </c>
      <c r="AI114" s="64" t="e">
        <f>L114='[1]מחיר מטרה-שקבלתי מאסתר'!L114</f>
        <v>#REF!</v>
      </c>
    </row>
    <row r="115" spans="1:35" ht="15.6" x14ac:dyDescent="0.3">
      <c r="A115" s="65" t="s">
        <v>67</v>
      </c>
      <c r="B115" s="66">
        <v>130</v>
      </c>
      <c r="C115" s="66">
        <v>64</v>
      </c>
      <c r="D115" s="67" t="s">
        <v>75</v>
      </c>
      <c r="E115" s="67">
        <v>16</v>
      </c>
      <c r="F115" s="67">
        <v>3</v>
      </c>
      <c r="G115" s="67">
        <v>84.76</v>
      </c>
      <c r="H115" s="67">
        <v>12</v>
      </c>
      <c r="I115" s="67">
        <v>6.69</v>
      </c>
      <c r="J115" s="109">
        <v>1</v>
      </c>
      <c r="K115" s="68">
        <f t="shared" si="39"/>
        <v>1595445.52284</v>
      </c>
      <c r="L115" s="77" t="s">
        <v>47</v>
      </c>
      <c r="M115" s="68">
        <f t="shared" si="37"/>
        <v>1619377.2056825999</v>
      </c>
      <c r="N115" s="68">
        <f t="shared" si="40"/>
        <v>1319377.2056825999</v>
      </c>
      <c r="O115" s="68">
        <f t="shared" si="41"/>
        <v>1674436.0306758084</v>
      </c>
      <c r="P115" s="68">
        <f t="shared" si="42"/>
        <v>355058.82499320852</v>
      </c>
      <c r="Q115" s="68">
        <f t="shared" si="43"/>
        <v>1319377.2056825999</v>
      </c>
      <c r="R115" s="78" t="s">
        <v>69</v>
      </c>
      <c r="S115" s="109">
        <v>64</v>
      </c>
      <c r="T115" s="72">
        <f t="shared" si="44"/>
        <v>12</v>
      </c>
      <c r="U115" s="72">
        <f t="shared" si="45"/>
        <v>0</v>
      </c>
      <c r="V115" s="73">
        <f t="shared" si="46"/>
        <v>0</v>
      </c>
      <c r="W115" s="73">
        <f t="shared" si="47"/>
        <v>0</v>
      </c>
      <c r="X115" s="68">
        <f t="shared" si="48"/>
        <v>319089.10456800001</v>
      </c>
      <c r="Y115" s="74">
        <f t="shared" si="49"/>
        <v>300000</v>
      </c>
      <c r="Z115" s="62">
        <f t="array" ref="Z115">_xlfn.IFS(AND(F115=3,G115&gt;90),(90*1)+((G115-90)*0.15),AND(F115=3.5,G115&gt;100),(100*1)+((G115-100)*0.15),AND(F115=4,G115&gt;110),(110*1)+((G115-110)*0.15),AND(F115=4.5,G115&gt;120),(120*1)+((G115-120)*0.15),AND(F115=5,G115&gt;125),(125*1)+((G115-125)*0.15),AND(F115=5.5,G115&gt;135),(135*1)+((G115-135)*0.15),AND(F115=6,G115&gt;145),(145*1)+((G115-145)*0.15),TRUE(),G115)</f>
        <v>84.76</v>
      </c>
      <c r="AA115" s="140">
        <v>1.4999999999999999E-2</v>
      </c>
      <c r="AD115" s="136" t="s">
        <v>54</v>
      </c>
      <c r="AE115" s="64" t="b">
        <f t="shared" si="38"/>
        <v>0</v>
      </c>
      <c r="AI115" s="64" t="e">
        <f>L115='[1]מחיר מטרה-שקבלתי מאסתר'!L115</f>
        <v>#REF!</v>
      </c>
    </row>
    <row r="116" spans="1:35" ht="15.6" x14ac:dyDescent="0.3">
      <c r="A116" s="65" t="s">
        <v>67</v>
      </c>
      <c r="B116" s="66">
        <v>130</v>
      </c>
      <c r="C116" s="66">
        <v>65</v>
      </c>
      <c r="D116" s="67" t="s">
        <v>76</v>
      </c>
      <c r="E116" s="67">
        <v>17</v>
      </c>
      <c r="F116" s="67">
        <v>5</v>
      </c>
      <c r="G116" s="67">
        <v>125.32</v>
      </c>
      <c r="H116" s="67">
        <v>15</v>
      </c>
      <c r="I116" s="67">
        <v>6.25</v>
      </c>
      <c r="J116" s="109">
        <v>1</v>
      </c>
      <c r="K116" s="68">
        <f t="shared" si="39"/>
        <v>2298747.59712</v>
      </c>
      <c r="L116" s="69" t="s">
        <v>47</v>
      </c>
      <c r="M116" s="68">
        <f t="shared" ref="M116:M144" si="50">K116*(1+AA116)</f>
        <v>2344722.5490624001</v>
      </c>
      <c r="N116" s="68">
        <f t="shared" si="40"/>
        <v>2044722.5490624001</v>
      </c>
      <c r="O116" s="68">
        <f t="shared" si="41"/>
        <v>2424443.1157305217</v>
      </c>
      <c r="P116" s="68">
        <f t="shared" si="42"/>
        <v>379720.56666812161</v>
      </c>
      <c r="Q116" s="68">
        <f t="shared" si="43"/>
        <v>2044722.5490624001</v>
      </c>
      <c r="R116" s="78" t="s">
        <v>69</v>
      </c>
      <c r="S116" s="109">
        <v>65</v>
      </c>
      <c r="T116" s="72">
        <f t="shared" si="44"/>
        <v>15</v>
      </c>
      <c r="U116" s="72">
        <f t="shared" si="45"/>
        <v>0</v>
      </c>
      <c r="V116" s="73">
        <f t="shared" si="46"/>
        <v>0</v>
      </c>
      <c r="W116" s="73">
        <f t="shared" si="47"/>
        <v>0</v>
      </c>
      <c r="X116" s="68">
        <f t="shared" si="48"/>
        <v>459749.51942400006</v>
      </c>
      <c r="Y116" s="74">
        <f t="shared" si="49"/>
        <v>300000</v>
      </c>
      <c r="Z116" s="62">
        <f t="array" ref="Z116">_xlfn.IFS(AND(F116=3,G116&gt;90),(90*1)+((G116-90)*0.15),AND(F116=3.5,G116&gt;100),(100*1)+((G116-100)*0.15),AND(F116=4,G116&gt;110),(110*1)+((G116-110)*0.15),AND(F116=4.5,G116&gt;120),(120*1)+((G116-120)*0.15),AND(F116=5,G116&gt;125),(125*1)+((G116-125)*0.15),AND(F116=5.5,G116&gt;135),(135*1)+((G116-135)*0.15),AND(F116=6,G116&gt;145),(145*1)+((G116-145)*0.15),TRUE(),G116)</f>
        <v>125.048</v>
      </c>
      <c r="AA116" s="140">
        <v>0.02</v>
      </c>
      <c r="AD116" s="138" t="s">
        <v>54</v>
      </c>
      <c r="AE116" s="64" t="b">
        <f t="shared" si="38"/>
        <v>0</v>
      </c>
      <c r="AI116" s="64" t="e">
        <f>L116='[1]מחיר מטרה-שקבלתי מאסתר'!L116</f>
        <v>#REF!</v>
      </c>
    </row>
    <row r="117" spans="1:35" ht="15.6" x14ac:dyDescent="0.3">
      <c r="A117" s="65" t="s">
        <v>67</v>
      </c>
      <c r="B117" s="66">
        <v>130</v>
      </c>
      <c r="C117" s="66">
        <v>66</v>
      </c>
      <c r="D117" s="67" t="s">
        <v>70</v>
      </c>
      <c r="E117" s="67">
        <v>17</v>
      </c>
      <c r="F117" s="67">
        <v>4</v>
      </c>
      <c r="G117" s="67">
        <v>113.37</v>
      </c>
      <c r="H117" s="67">
        <v>19.38</v>
      </c>
      <c r="I117" s="67">
        <v>6.27</v>
      </c>
      <c r="J117" s="109">
        <v>1</v>
      </c>
      <c r="K117" s="68">
        <f t="shared" si="39"/>
        <v>2072033.3409749996</v>
      </c>
      <c r="L117" s="77" t="s">
        <v>47</v>
      </c>
      <c r="M117" s="68">
        <f t="shared" si="50"/>
        <v>2113474.0077944994</v>
      </c>
      <c r="N117" s="68">
        <f t="shared" si="40"/>
        <v>1813474.0077944994</v>
      </c>
      <c r="O117" s="68">
        <f t="shared" si="41"/>
        <v>2185332.1240595123</v>
      </c>
      <c r="P117" s="68">
        <f t="shared" si="42"/>
        <v>371858.11626501288</v>
      </c>
      <c r="Q117" s="68">
        <f t="shared" si="43"/>
        <v>1813474.0077944994</v>
      </c>
      <c r="R117" s="78" t="s">
        <v>69</v>
      </c>
      <c r="S117" s="109">
        <v>66</v>
      </c>
      <c r="T117" s="72">
        <f t="shared" si="44"/>
        <v>19.38</v>
      </c>
      <c r="U117" s="72">
        <f t="shared" si="45"/>
        <v>0</v>
      </c>
      <c r="V117" s="73">
        <f t="shared" si="46"/>
        <v>0</v>
      </c>
      <c r="W117" s="73">
        <f t="shared" si="47"/>
        <v>0</v>
      </c>
      <c r="X117" s="68">
        <f t="shared" si="48"/>
        <v>414406.66819499992</v>
      </c>
      <c r="Y117" s="74">
        <f t="shared" si="49"/>
        <v>300000</v>
      </c>
      <c r="Z117" s="62">
        <f t="array" ref="Z117">_xlfn.IFS(AND(F117=3,G117&gt;90),(90*1)+((G117-90)*0.15),AND(F117=3.5,G117&gt;100),(100*1)+((G117-100)*0.15),AND(F117=4,G117&gt;110),(110*1)+((G117-110)*0.15),AND(F117=4.5,G117&gt;120),(120*1)+((G117-120)*0.15),AND(F117=5,G117&gt;125),(125*1)+((G117-125)*0.15),AND(F117=5.5,G117&gt;135),(135*1)+((G117-135)*0.15),AND(F117=6,G117&gt;145),(145*1)+((G117-145)*0.15),TRUE(),G117)</f>
        <v>110.5055</v>
      </c>
      <c r="AA117" s="140">
        <v>0.02</v>
      </c>
      <c r="AD117" s="136" t="s">
        <v>54</v>
      </c>
      <c r="AE117" s="64" t="b">
        <f t="shared" si="38"/>
        <v>0</v>
      </c>
      <c r="AI117" s="64" t="e">
        <f>L117='[1]מחיר מטרה-שקבלתי מאסתר'!L117</f>
        <v>#REF!</v>
      </c>
    </row>
    <row r="118" spans="1:35" ht="15.6" x14ac:dyDescent="0.3">
      <c r="A118" s="65" t="s">
        <v>67</v>
      </c>
      <c r="B118" s="66">
        <v>130</v>
      </c>
      <c r="C118" s="66">
        <v>67</v>
      </c>
      <c r="D118" s="79" t="s">
        <v>71</v>
      </c>
      <c r="E118" s="79">
        <v>17</v>
      </c>
      <c r="F118" s="67">
        <v>4</v>
      </c>
      <c r="G118" s="79">
        <v>103.79</v>
      </c>
      <c r="H118" s="79">
        <v>14.98</v>
      </c>
      <c r="I118" s="79">
        <v>6.51</v>
      </c>
      <c r="J118" s="109">
        <v>1</v>
      </c>
      <c r="K118" s="68">
        <f t="shared" si="39"/>
        <v>1935881.31672</v>
      </c>
      <c r="L118" s="79" t="s">
        <v>54</v>
      </c>
      <c r="M118" s="68">
        <f t="shared" si="50"/>
        <v>1974598.9430544002</v>
      </c>
      <c r="N118" s="68">
        <f t="shared" si="40"/>
        <v>1674598.9430544002</v>
      </c>
      <c r="O118" s="68">
        <f t="shared" si="41"/>
        <v>2041735.3071182498</v>
      </c>
      <c r="P118" s="68">
        <f t="shared" si="42"/>
        <v>367136.36406384967</v>
      </c>
      <c r="Q118" s="68">
        <f t="shared" si="43"/>
        <v>1674598.9430544002</v>
      </c>
      <c r="R118" s="78" t="s">
        <v>69</v>
      </c>
      <c r="S118" s="109">
        <v>67</v>
      </c>
      <c r="T118" s="72">
        <f t="shared" si="44"/>
        <v>14.98</v>
      </c>
      <c r="U118" s="72">
        <f t="shared" si="45"/>
        <v>0</v>
      </c>
      <c r="V118" s="73">
        <f t="shared" si="46"/>
        <v>0</v>
      </c>
      <c r="W118" s="73">
        <f t="shared" si="47"/>
        <v>0</v>
      </c>
      <c r="X118" s="68">
        <f t="shared" si="48"/>
        <v>387176.26334400004</v>
      </c>
      <c r="Y118" s="74">
        <f t="shared" si="49"/>
        <v>300000</v>
      </c>
      <c r="Z118" s="62">
        <f t="array" ref="Z118">_xlfn.IFS(AND(F118=3,G118&gt;90),(90*1)+((G118-90)*0.15),AND(F118=3.5,G118&gt;100),(100*1)+((G118-100)*0.15),AND(F118=4,G118&gt;110),(110*1)+((G118-110)*0.15),AND(F118=4.5,G118&gt;120),(120*1)+((G118-120)*0.15),AND(F118=5,G118&gt;125),(125*1)+((G118-125)*0.15),AND(F118=5.5,G118&gt;135),(135*1)+((G118-135)*0.15),AND(F118=6,G118&gt;145),(145*1)+((G118-145)*0.15),TRUE(),G118)</f>
        <v>103.79</v>
      </c>
      <c r="AA118" s="140">
        <v>0.02</v>
      </c>
      <c r="AD118" s="136" t="s">
        <v>47</v>
      </c>
      <c r="AE118" s="64" t="b">
        <f t="shared" ref="AE118:AE149" si="51">AD118=L118</f>
        <v>0</v>
      </c>
      <c r="AI118" s="64" t="e">
        <f>L118='[1]מחיר מטרה-שקבלתי מאסתר'!L118</f>
        <v>#REF!</v>
      </c>
    </row>
    <row r="119" spans="1:35" ht="14.25" customHeight="1" x14ac:dyDescent="0.3">
      <c r="A119" s="65" t="s">
        <v>67</v>
      </c>
      <c r="B119" s="66">
        <v>130</v>
      </c>
      <c r="C119" s="66">
        <v>68</v>
      </c>
      <c r="D119" s="67" t="s">
        <v>75</v>
      </c>
      <c r="E119" s="67">
        <v>17</v>
      </c>
      <c r="F119" s="67">
        <v>3</v>
      </c>
      <c r="G119" s="67">
        <v>84.76</v>
      </c>
      <c r="H119" s="67">
        <v>12</v>
      </c>
      <c r="I119" s="67">
        <v>6.69</v>
      </c>
      <c r="J119" s="109">
        <v>1</v>
      </c>
      <c r="K119" s="68">
        <f t="shared" si="39"/>
        <v>1595445.52284</v>
      </c>
      <c r="L119" s="77" t="s">
        <v>47</v>
      </c>
      <c r="M119" s="68">
        <f t="shared" si="50"/>
        <v>1627354.4332968001</v>
      </c>
      <c r="N119" s="68">
        <f t="shared" si="40"/>
        <v>1327354.4332968001</v>
      </c>
      <c r="O119" s="68">
        <f t="shared" si="41"/>
        <v>1682684.4840288914</v>
      </c>
      <c r="P119" s="68">
        <f t="shared" si="42"/>
        <v>355330.0507320913</v>
      </c>
      <c r="Q119" s="68">
        <f t="shared" si="43"/>
        <v>1327354.4332968001</v>
      </c>
      <c r="R119" s="78" t="s">
        <v>69</v>
      </c>
      <c r="S119" s="109">
        <v>68</v>
      </c>
      <c r="T119" s="72">
        <f t="shared" si="44"/>
        <v>12</v>
      </c>
      <c r="U119" s="72">
        <f t="shared" si="45"/>
        <v>0</v>
      </c>
      <c r="V119" s="73">
        <f t="shared" si="46"/>
        <v>0</v>
      </c>
      <c r="W119" s="73">
        <f t="shared" si="47"/>
        <v>0</v>
      </c>
      <c r="X119" s="68">
        <f t="shared" si="48"/>
        <v>319089.10456800001</v>
      </c>
      <c r="Y119" s="74">
        <f t="shared" si="49"/>
        <v>300000</v>
      </c>
      <c r="Z119" s="62">
        <f t="array" ref="Z119">_xlfn.IFS(AND(F119=3,G119&gt;90),(90*1)+((G119-90)*0.15),AND(F119=3.5,G119&gt;100),(100*1)+((G119-100)*0.15),AND(F119=4,G119&gt;110),(110*1)+((G119-110)*0.15),AND(F119=4.5,G119&gt;120),(120*1)+((G119-120)*0.15),AND(F119=5,G119&gt;125),(125*1)+((G119-125)*0.15),AND(F119=5.5,G119&gt;135),(135*1)+((G119-135)*0.15),AND(F119=6,G119&gt;145),(145*1)+((G119-145)*0.15),TRUE(),G119)</f>
        <v>84.76</v>
      </c>
      <c r="AA119" s="140">
        <v>0.02</v>
      </c>
      <c r="AD119" s="136" t="s">
        <v>47</v>
      </c>
      <c r="AE119" s="64" t="b">
        <f t="shared" si="51"/>
        <v>1</v>
      </c>
      <c r="AI119" s="64" t="e">
        <f>L119='[1]מחיר מטרה-שקבלתי מאסתר'!L119</f>
        <v>#REF!</v>
      </c>
    </row>
    <row r="120" spans="1:35" ht="15.6" x14ac:dyDescent="0.3">
      <c r="A120" s="65" t="s">
        <v>67</v>
      </c>
      <c r="B120" s="66">
        <v>130</v>
      </c>
      <c r="C120" s="66">
        <v>69</v>
      </c>
      <c r="D120" s="67" t="s">
        <v>76</v>
      </c>
      <c r="E120" s="67">
        <v>18</v>
      </c>
      <c r="F120" s="67">
        <v>5</v>
      </c>
      <c r="G120" s="67">
        <v>125.32</v>
      </c>
      <c r="H120" s="67">
        <v>15</v>
      </c>
      <c r="I120" s="67">
        <v>6.25</v>
      </c>
      <c r="J120" s="109">
        <v>1</v>
      </c>
      <c r="K120" s="68">
        <f t="shared" si="39"/>
        <v>2298747.59712</v>
      </c>
      <c r="L120" s="69" t="s">
        <v>47</v>
      </c>
      <c r="M120" s="68">
        <f t="shared" si="50"/>
        <v>2356216.2870479999</v>
      </c>
      <c r="N120" s="68">
        <f t="shared" si="40"/>
        <v>2056216.2870479999</v>
      </c>
      <c r="O120" s="68">
        <f t="shared" si="41"/>
        <v>2436327.6408076319</v>
      </c>
      <c r="P120" s="68">
        <f t="shared" si="42"/>
        <v>380111.35375963198</v>
      </c>
      <c r="Q120" s="68">
        <f t="shared" si="43"/>
        <v>2056216.2870479999</v>
      </c>
      <c r="R120" s="78" t="s">
        <v>69</v>
      </c>
      <c r="S120" s="109">
        <v>69</v>
      </c>
      <c r="T120" s="72">
        <f t="shared" si="44"/>
        <v>15</v>
      </c>
      <c r="U120" s="72">
        <f t="shared" si="45"/>
        <v>0</v>
      </c>
      <c r="V120" s="73">
        <f t="shared" si="46"/>
        <v>0</v>
      </c>
      <c r="W120" s="73">
        <f t="shared" si="47"/>
        <v>0</v>
      </c>
      <c r="X120" s="68">
        <f t="shared" si="48"/>
        <v>459749.51942400006</v>
      </c>
      <c r="Y120" s="74">
        <f t="shared" si="49"/>
        <v>300000</v>
      </c>
      <c r="Z120" s="62">
        <f t="array" ref="Z120">_xlfn.IFS(AND(F120=3,G120&gt;90),(90*1)+((G120-90)*0.15),AND(F120=3.5,G120&gt;100),(100*1)+((G120-100)*0.15),AND(F120=4,G120&gt;110),(110*1)+((G120-110)*0.15),AND(F120=4.5,G120&gt;120),(120*1)+((G120-120)*0.15),AND(F120=5,G120&gt;125),(125*1)+((G120-125)*0.15),AND(F120=5.5,G120&gt;135),(135*1)+((G120-135)*0.15),AND(F120=6,G120&gt;145),(145*1)+((G120-145)*0.15),TRUE(),G120)</f>
        <v>125.048</v>
      </c>
      <c r="AA120" s="140">
        <v>2.5000000000000001E-2</v>
      </c>
      <c r="AD120" s="138" t="s">
        <v>54</v>
      </c>
      <c r="AE120" s="64" t="b">
        <f t="shared" si="51"/>
        <v>0</v>
      </c>
      <c r="AI120" s="64" t="e">
        <f>L120='[1]מחיר מטרה-שקבלתי מאסתר'!L120</f>
        <v>#REF!</v>
      </c>
    </row>
    <row r="121" spans="1:35" ht="14.25" customHeight="1" x14ac:dyDescent="0.3">
      <c r="A121" s="65" t="s">
        <v>67</v>
      </c>
      <c r="B121" s="66">
        <v>130</v>
      </c>
      <c r="C121" s="66">
        <v>70</v>
      </c>
      <c r="D121" s="67" t="s">
        <v>73</v>
      </c>
      <c r="E121" s="67">
        <v>18</v>
      </c>
      <c r="F121" s="67">
        <v>4</v>
      </c>
      <c r="G121" s="67">
        <v>113.37</v>
      </c>
      <c r="H121" s="67">
        <v>14.77</v>
      </c>
      <c r="I121" s="67">
        <v>6.27</v>
      </c>
      <c r="J121" s="109">
        <v>2</v>
      </c>
      <c r="K121" s="68">
        <f t="shared" si="39"/>
        <v>2082614.0827049997</v>
      </c>
      <c r="L121" s="77" t="s">
        <v>47</v>
      </c>
      <c r="M121" s="68">
        <f t="shared" si="50"/>
        <v>2134679.4347726246</v>
      </c>
      <c r="N121" s="68">
        <f t="shared" si="40"/>
        <v>1834679.4347726246</v>
      </c>
      <c r="O121" s="68">
        <f t="shared" si="41"/>
        <v>2207258.5355548938</v>
      </c>
      <c r="P121" s="68">
        <f t="shared" si="42"/>
        <v>372579.10078226915</v>
      </c>
      <c r="Q121" s="68">
        <f t="shared" si="43"/>
        <v>1834679.4347726246</v>
      </c>
      <c r="R121" s="78" t="s">
        <v>69</v>
      </c>
      <c r="S121" s="109">
        <v>70</v>
      </c>
      <c r="T121" s="72">
        <f t="shared" si="44"/>
        <v>14.77</v>
      </c>
      <c r="U121" s="72">
        <f t="shared" si="45"/>
        <v>0</v>
      </c>
      <c r="V121" s="73">
        <f t="shared" si="46"/>
        <v>0</v>
      </c>
      <c r="W121" s="73">
        <f t="shared" si="47"/>
        <v>0</v>
      </c>
      <c r="X121" s="68">
        <f t="shared" si="48"/>
        <v>416522.81654099998</v>
      </c>
      <c r="Y121" s="74">
        <f t="shared" si="49"/>
        <v>300000</v>
      </c>
      <c r="Z121" s="62">
        <f t="array" ref="Z121">_xlfn.IFS(AND(F121=3,G121&gt;90),(90*1)+((G121-90)*0.15),AND(F121=3.5,G121&gt;100),(100*1)+((G121-100)*0.15),AND(F121=4,G121&gt;110),(110*1)+((G121-110)*0.15),AND(F121=4.5,G121&gt;120),(120*1)+((G121-120)*0.15),AND(F121=5,G121&gt;125),(125*1)+((G121-125)*0.15),AND(F121=5.5,G121&gt;135),(135*1)+((G121-135)*0.15),AND(F121=6,G121&gt;145),(145*1)+((G121-145)*0.15),TRUE(),G121)</f>
        <v>110.5055</v>
      </c>
      <c r="AA121" s="140">
        <v>2.5000000000000001E-2</v>
      </c>
      <c r="AD121" s="136" t="s">
        <v>54</v>
      </c>
      <c r="AE121" s="64" t="b">
        <f t="shared" si="51"/>
        <v>0</v>
      </c>
      <c r="AI121" s="64" t="e">
        <f>L121='[1]מחיר מטרה-שקבלתי מאסתר'!L121</f>
        <v>#REF!</v>
      </c>
    </row>
    <row r="122" spans="1:35" ht="15.6" x14ac:dyDescent="0.3">
      <c r="A122" s="65" t="s">
        <v>67</v>
      </c>
      <c r="B122" s="66">
        <v>130</v>
      </c>
      <c r="C122" s="66">
        <v>71</v>
      </c>
      <c r="D122" s="79" t="s">
        <v>71</v>
      </c>
      <c r="E122" s="79">
        <v>18</v>
      </c>
      <c r="F122" s="67">
        <v>4</v>
      </c>
      <c r="G122" s="79">
        <v>103.79</v>
      </c>
      <c r="H122" s="79">
        <v>14.98</v>
      </c>
      <c r="I122" s="79">
        <v>6.51</v>
      </c>
      <c r="J122" s="109">
        <v>2</v>
      </c>
      <c r="K122" s="68">
        <f t="shared" si="39"/>
        <v>1970178.6967199999</v>
      </c>
      <c r="L122" s="77" t="s">
        <v>47</v>
      </c>
      <c r="M122" s="68">
        <f t="shared" si="50"/>
        <v>2019433.1641379998</v>
      </c>
      <c r="N122" s="68">
        <f t="shared" si="40"/>
        <v>1719433.1641379998</v>
      </c>
      <c r="O122" s="68">
        <f t="shared" si="41"/>
        <v>2088093.8917186919</v>
      </c>
      <c r="P122" s="68">
        <f t="shared" si="42"/>
        <v>368660.72758069215</v>
      </c>
      <c r="Q122" s="68">
        <f t="shared" si="43"/>
        <v>1719433.1641379998</v>
      </c>
      <c r="R122" s="78" t="s">
        <v>69</v>
      </c>
      <c r="S122" s="109">
        <v>71</v>
      </c>
      <c r="T122" s="72">
        <f t="shared" si="44"/>
        <v>14.98</v>
      </c>
      <c r="U122" s="72">
        <f t="shared" si="45"/>
        <v>0</v>
      </c>
      <c r="V122" s="73">
        <f t="shared" si="46"/>
        <v>0</v>
      </c>
      <c r="W122" s="73">
        <f t="shared" si="47"/>
        <v>0</v>
      </c>
      <c r="X122" s="68">
        <f t="shared" si="48"/>
        <v>394035.739344</v>
      </c>
      <c r="Y122" s="74">
        <f t="shared" si="49"/>
        <v>300000</v>
      </c>
      <c r="Z122" s="62">
        <f t="array" ref="Z122">_xlfn.IFS(AND(F122=3,G122&gt;90),(90*1)+((G122-90)*0.15),AND(F122=3.5,G122&gt;100),(100*1)+((G122-100)*0.15),AND(F122=4,G122&gt;110),(110*1)+((G122-110)*0.15),AND(F122=4.5,G122&gt;120),(120*1)+((G122-120)*0.15),AND(F122=5,G122&gt;125),(125*1)+((G122-125)*0.15),AND(F122=5.5,G122&gt;135),(135*1)+((G122-135)*0.15),AND(F122=6,G122&gt;145),(145*1)+((G122-145)*0.15),TRUE(),G122)</f>
        <v>103.79</v>
      </c>
      <c r="AA122" s="140">
        <v>2.5000000000000001E-2</v>
      </c>
      <c r="AD122" s="136" t="s">
        <v>47</v>
      </c>
      <c r="AE122" s="64" t="b">
        <f t="shared" si="51"/>
        <v>1</v>
      </c>
      <c r="AI122" s="64" t="e">
        <f>L122='[1]מחיר מטרה-שקבלתי מאסתר'!L122</f>
        <v>#REF!</v>
      </c>
    </row>
    <row r="123" spans="1:35" ht="15.6" x14ac:dyDescent="0.3">
      <c r="A123" s="65" t="s">
        <v>67</v>
      </c>
      <c r="B123" s="66">
        <v>130</v>
      </c>
      <c r="C123" s="66">
        <v>72</v>
      </c>
      <c r="D123" s="67" t="s">
        <v>75</v>
      </c>
      <c r="E123" s="67">
        <v>18</v>
      </c>
      <c r="F123" s="67">
        <v>3</v>
      </c>
      <c r="G123" s="67">
        <v>84.76</v>
      </c>
      <c r="H123" s="67">
        <v>12</v>
      </c>
      <c r="I123" s="67">
        <v>6.69</v>
      </c>
      <c r="J123" s="109">
        <v>2</v>
      </c>
      <c r="K123" s="68">
        <f t="shared" si="39"/>
        <v>1629742.9028399999</v>
      </c>
      <c r="L123" s="77" t="s">
        <v>47</v>
      </c>
      <c r="M123" s="68">
        <f t="shared" si="50"/>
        <v>1670486.4754109997</v>
      </c>
      <c r="N123" s="68">
        <f t="shared" si="40"/>
        <v>1370486.4754109997</v>
      </c>
      <c r="O123" s="68">
        <f t="shared" si="41"/>
        <v>1727283.0155749738</v>
      </c>
      <c r="P123" s="68">
        <f t="shared" si="42"/>
        <v>356796.54016397404</v>
      </c>
      <c r="Q123" s="68">
        <f t="shared" si="43"/>
        <v>1370486.4754109997</v>
      </c>
      <c r="R123" s="78" t="s">
        <v>69</v>
      </c>
      <c r="S123" s="109">
        <v>72</v>
      </c>
      <c r="T123" s="72">
        <f t="shared" si="44"/>
        <v>12</v>
      </c>
      <c r="U123" s="72">
        <f t="shared" si="45"/>
        <v>0</v>
      </c>
      <c r="V123" s="73">
        <f t="shared" si="46"/>
        <v>0</v>
      </c>
      <c r="W123" s="73">
        <f t="shared" si="47"/>
        <v>0</v>
      </c>
      <c r="X123" s="68">
        <f t="shared" si="48"/>
        <v>325948.58056799998</v>
      </c>
      <c r="Y123" s="74">
        <f t="shared" si="49"/>
        <v>300000</v>
      </c>
      <c r="Z123" s="62">
        <f t="array" ref="Z123">_xlfn.IFS(AND(F123=3,G123&gt;90),(90*1)+((G123-90)*0.15),AND(F123=3.5,G123&gt;100),(100*1)+((G123-100)*0.15),AND(F123=4,G123&gt;110),(110*1)+((G123-110)*0.15),AND(F123=4.5,G123&gt;120),(120*1)+((G123-120)*0.15),AND(F123=5,G123&gt;125),(125*1)+((G123-125)*0.15),AND(F123=5.5,G123&gt;135),(135*1)+((G123-135)*0.15),AND(F123=6,G123&gt;145),(145*1)+((G123-145)*0.15),TRUE(),G123)</f>
        <v>84.76</v>
      </c>
      <c r="AA123" s="140">
        <v>2.5000000000000001E-2</v>
      </c>
      <c r="AD123" s="136" t="s">
        <v>47</v>
      </c>
      <c r="AE123" s="64" t="b">
        <f t="shared" si="51"/>
        <v>1</v>
      </c>
      <c r="AI123" s="64" t="e">
        <f>L123='[1]מחיר מטרה-שקבלתי מאסתר'!L123</f>
        <v>#REF!</v>
      </c>
    </row>
    <row r="124" spans="1:35" ht="14.25" customHeight="1" x14ac:dyDescent="0.3">
      <c r="A124" s="65" t="s">
        <v>67</v>
      </c>
      <c r="B124" s="66">
        <v>130</v>
      </c>
      <c r="C124" s="66">
        <v>73</v>
      </c>
      <c r="D124" s="67" t="s">
        <v>76</v>
      </c>
      <c r="E124" s="67">
        <v>19</v>
      </c>
      <c r="F124" s="67">
        <v>5</v>
      </c>
      <c r="G124" s="67">
        <v>125.32</v>
      </c>
      <c r="H124" s="67">
        <v>15</v>
      </c>
      <c r="I124" s="67">
        <v>6.25</v>
      </c>
      <c r="J124" s="109">
        <v>2</v>
      </c>
      <c r="K124" s="68">
        <f t="shared" si="39"/>
        <v>2333044.9771199999</v>
      </c>
      <c r="L124" s="69" t="s">
        <v>47</v>
      </c>
      <c r="M124" s="68">
        <f t="shared" si="50"/>
        <v>2403036.3264335999</v>
      </c>
      <c r="N124" s="68">
        <f t="shared" si="40"/>
        <v>2103036.3264335999</v>
      </c>
      <c r="O124" s="68">
        <f t="shared" si="41"/>
        <v>2484739.5615323423</v>
      </c>
      <c r="P124" s="68">
        <f t="shared" si="42"/>
        <v>381703.23509874241</v>
      </c>
      <c r="Q124" s="68">
        <f t="shared" si="43"/>
        <v>2103036.3264335999</v>
      </c>
      <c r="R124" s="78" t="s">
        <v>69</v>
      </c>
      <c r="S124" s="109">
        <v>73</v>
      </c>
      <c r="T124" s="72">
        <f t="shared" si="44"/>
        <v>15</v>
      </c>
      <c r="U124" s="72">
        <f t="shared" si="45"/>
        <v>0</v>
      </c>
      <c r="V124" s="73">
        <f t="shared" si="46"/>
        <v>0</v>
      </c>
      <c r="W124" s="73">
        <f t="shared" si="47"/>
        <v>0</v>
      </c>
      <c r="X124" s="68">
        <f t="shared" si="48"/>
        <v>466608.99542400002</v>
      </c>
      <c r="Y124" s="74">
        <f t="shared" si="49"/>
        <v>300000</v>
      </c>
      <c r="Z124" s="62">
        <f t="array" ref="Z124">_xlfn.IFS(AND(F124=3,G124&gt;90),(90*1)+((G124-90)*0.15),AND(F124=3.5,G124&gt;100),(100*1)+((G124-100)*0.15),AND(F124=4,G124&gt;110),(110*1)+((G124-110)*0.15),AND(F124=4.5,G124&gt;120),(120*1)+((G124-120)*0.15),AND(F124=5,G124&gt;125),(125*1)+((G124-125)*0.15),AND(F124=5.5,G124&gt;135),(135*1)+((G124-135)*0.15),AND(F124=6,G124&gt;145),(145*1)+((G124-145)*0.15),TRUE(),G124)</f>
        <v>125.048</v>
      </c>
      <c r="AA124" s="140">
        <v>0.03</v>
      </c>
      <c r="AD124" s="138" t="s">
        <v>54</v>
      </c>
      <c r="AE124" s="64" t="b">
        <f t="shared" si="51"/>
        <v>0</v>
      </c>
      <c r="AI124" s="64" t="e">
        <f>L124='[1]מחיר מטרה-שקבלתי מאסתר'!L124</f>
        <v>#REF!</v>
      </c>
    </row>
    <row r="125" spans="1:35" ht="15.6" x14ac:dyDescent="0.3">
      <c r="A125" s="65" t="s">
        <v>67</v>
      </c>
      <c r="B125" s="66">
        <v>130</v>
      </c>
      <c r="C125" s="66">
        <v>74</v>
      </c>
      <c r="D125" s="67" t="s">
        <v>70</v>
      </c>
      <c r="E125" s="67">
        <v>19</v>
      </c>
      <c r="F125" s="67">
        <v>4</v>
      </c>
      <c r="G125" s="67">
        <v>113.37</v>
      </c>
      <c r="H125" s="67">
        <v>19.38</v>
      </c>
      <c r="I125" s="67">
        <v>6.27</v>
      </c>
      <c r="J125" s="109">
        <v>2</v>
      </c>
      <c r="K125" s="68">
        <f t="shared" si="39"/>
        <v>2106330.7209749995</v>
      </c>
      <c r="L125" s="77" t="s">
        <v>47</v>
      </c>
      <c r="M125" s="68">
        <f t="shared" si="50"/>
        <v>2169520.6426042495</v>
      </c>
      <c r="N125" s="68">
        <f t="shared" si="40"/>
        <v>1869520.6426042495</v>
      </c>
      <c r="O125" s="68">
        <f t="shared" si="41"/>
        <v>2243284.3444527942</v>
      </c>
      <c r="P125" s="68">
        <f t="shared" si="42"/>
        <v>373763.70184854465</v>
      </c>
      <c r="Q125" s="68">
        <f t="shared" si="43"/>
        <v>1869520.6426042495</v>
      </c>
      <c r="R125" s="78" t="s">
        <v>69</v>
      </c>
      <c r="S125" s="109">
        <v>74</v>
      </c>
      <c r="T125" s="72">
        <f t="shared" si="44"/>
        <v>19.38</v>
      </c>
      <c r="U125" s="72">
        <f t="shared" si="45"/>
        <v>0</v>
      </c>
      <c r="V125" s="73">
        <f t="shared" si="46"/>
        <v>0</v>
      </c>
      <c r="W125" s="73">
        <f t="shared" si="47"/>
        <v>0</v>
      </c>
      <c r="X125" s="68">
        <f t="shared" si="48"/>
        <v>421266.14419499994</v>
      </c>
      <c r="Y125" s="74">
        <f t="shared" si="49"/>
        <v>300000</v>
      </c>
      <c r="Z125" s="62">
        <f t="array" ref="Z125">_xlfn.IFS(AND(F125=3,G125&gt;90),(90*1)+((G125-90)*0.15),AND(F125=3.5,G125&gt;100),(100*1)+((G125-100)*0.15),AND(F125=4,G125&gt;110),(110*1)+((G125-110)*0.15),AND(F125=4.5,G125&gt;120),(120*1)+((G125-120)*0.15),AND(F125=5,G125&gt;125),(125*1)+((G125-125)*0.15),AND(F125=5.5,G125&gt;135),(135*1)+((G125-135)*0.15),AND(F125=6,G125&gt;145),(145*1)+((G125-145)*0.15),TRUE(),G125)</f>
        <v>110.5055</v>
      </c>
      <c r="AA125" s="140">
        <v>0.03</v>
      </c>
      <c r="AD125" s="136" t="s">
        <v>47</v>
      </c>
      <c r="AE125" s="64" t="b">
        <f t="shared" si="51"/>
        <v>1</v>
      </c>
      <c r="AI125" s="64" t="e">
        <f>L125='[1]מחיר מטרה-שקבלתי מאסתר'!L125</f>
        <v>#REF!</v>
      </c>
    </row>
    <row r="126" spans="1:35" ht="15.6" x14ac:dyDescent="0.3">
      <c r="A126" s="65" t="s">
        <v>67</v>
      </c>
      <c r="B126" s="66">
        <v>130</v>
      </c>
      <c r="C126" s="66">
        <v>75</v>
      </c>
      <c r="D126" s="79" t="s">
        <v>71</v>
      </c>
      <c r="E126" s="79">
        <v>19</v>
      </c>
      <c r="F126" s="67">
        <v>4</v>
      </c>
      <c r="G126" s="79">
        <v>103.79</v>
      </c>
      <c r="H126" s="79">
        <v>14.98</v>
      </c>
      <c r="I126" s="79">
        <v>6.51</v>
      </c>
      <c r="J126" s="109">
        <v>2</v>
      </c>
      <c r="K126" s="68">
        <f t="shared" si="39"/>
        <v>1970178.6967199999</v>
      </c>
      <c r="L126" s="77" t="s">
        <v>47</v>
      </c>
      <c r="M126" s="68">
        <f t="shared" si="50"/>
        <v>2029284.0576215999</v>
      </c>
      <c r="N126" s="68">
        <f t="shared" si="40"/>
        <v>1729284.0576215999</v>
      </c>
      <c r="O126" s="68">
        <f t="shared" si="41"/>
        <v>2098279.7155807344</v>
      </c>
      <c r="P126" s="68">
        <f t="shared" si="42"/>
        <v>368995.65795913455</v>
      </c>
      <c r="Q126" s="68">
        <f t="shared" si="43"/>
        <v>1729284.0576215999</v>
      </c>
      <c r="R126" s="78" t="s">
        <v>69</v>
      </c>
      <c r="S126" s="109">
        <v>75</v>
      </c>
      <c r="T126" s="72">
        <f t="shared" si="44"/>
        <v>14.98</v>
      </c>
      <c r="U126" s="72">
        <f t="shared" si="45"/>
        <v>0</v>
      </c>
      <c r="V126" s="73">
        <f t="shared" si="46"/>
        <v>0</v>
      </c>
      <c r="W126" s="73">
        <f t="shared" si="47"/>
        <v>0</v>
      </c>
      <c r="X126" s="68">
        <f t="shared" si="48"/>
        <v>394035.739344</v>
      </c>
      <c r="Y126" s="74">
        <f t="shared" si="49"/>
        <v>300000</v>
      </c>
      <c r="Z126" s="62">
        <f t="array" ref="Z126">_xlfn.IFS(AND(F126=3,G126&gt;90),(90*1)+((G126-90)*0.15),AND(F126=3.5,G126&gt;100),(100*1)+((G126-100)*0.15),AND(F126=4,G126&gt;110),(110*1)+((G126-110)*0.15),AND(F126=4.5,G126&gt;120),(120*1)+((G126-120)*0.15),AND(F126=5,G126&gt;125),(125*1)+((G126-125)*0.15),AND(F126=5.5,G126&gt;135),(135*1)+((G126-135)*0.15),AND(F126=6,G126&gt;145),(145*1)+((G126-145)*0.15),TRUE(),G126)</f>
        <v>103.79</v>
      </c>
      <c r="AA126" s="140">
        <v>0.03</v>
      </c>
      <c r="AD126" s="136" t="s">
        <v>47</v>
      </c>
      <c r="AE126" s="64" t="b">
        <f t="shared" si="51"/>
        <v>1</v>
      </c>
      <c r="AI126" s="64" t="e">
        <f>L126='[1]מחיר מטרה-שקבלתי מאסתר'!L126</f>
        <v>#REF!</v>
      </c>
    </row>
    <row r="127" spans="1:35" ht="15.6" x14ac:dyDescent="0.3">
      <c r="A127" s="65" t="s">
        <v>67</v>
      </c>
      <c r="B127" s="66">
        <v>130</v>
      </c>
      <c r="C127" s="66">
        <v>76</v>
      </c>
      <c r="D127" s="67" t="s">
        <v>75</v>
      </c>
      <c r="E127" s="67">
        <v>19</v>
      </c>
      <c r="F127" s="67">
        <v>3</v>
      </c>
      <c r="G127" s="67">
        <v>84.76</v>
      </c>
      <c r="H127" s="67">
        <v>12</v>
      </c>
      <c r="I127" s="67">
        <v>6.69</v>
      </c>
      <c r="J127" s="109">
        <v>2</v>
      </c>
      <c r="K127" s="68">
        <f t="shared" si="39"/>
        <v>1629742.9028399999</v>
      </c>
      <c r="L127" s="77" t="s">
        <v>47</v>
      </c>
      <c r="M127" s="68">
        <f t="shared" si="50"/>
        <v>1678635.1899251998</v>
      </c>
      <c r="N127" s="68">
        <f t="shared" si="40"/>
        <v>1378635.1899251998</v>
      </c>
      <c r="O127" s="68">
        <f t="shared" si="41"/>
        <v>1735708.7863826568</v>
      </c>
      <c r="P127" s="68">
        <f t="shared" si="42"/>
        <v>357073.59645745694</v>
      </c>
      <c r="Q127" s="68">
        <f t="shared" si="43"/>
        <v>1378635.1899251998</v>
      </c>
      <c r="R127" s="78" t="s">
        <v>69</v>
      </c>
      <c r="S127" s="109">
        <v>76</v>
      </c>
      <c r="T127" s="72">
        <f t="shared" si="44"/>
        <v>12</v>
      </c>
      <c r="U127" s="72">
        <f t="shared" si="45"/>
        <v>0</v>
      </c>
      <c r="V127" s="73">
        <f t="shared" si="46"/>
        <v>0</v>
      </c>
      <c r="W127" s="73">
        <f t="shared" si="47"/>
        <v>0</v>
      </c>
      <c r="X127" s="68">
        <f t="shared" si="48"/>
        <v>325948.58056799998</v>
      </c>
      <c r="Y127" s="74">
        <f t="shared" si="49"/>
        <v>300000</v>
      </c>
      <c r="Z127" s="62">
        <f t="array" ref="Z127">_xlfn.IFS(AND(F127=3,G127&gt;90),(90*1)+((G127-90)*0.15),AND(F127=3.5,G127&gt;100),(100*1)+((G127-100)*0.15),AND(F127=4,G127&gt;110),(110*1)+((G127-110)*0.15),AND(F127=4.5,G127&gt;120),(120*1)+((G127-120)*0.15),AND(F127=5,G127&gt;125),(125*1)+((G127-125)*0.15),AND(F127=5.5,G127&gt;135),(135*1)+((G127-135)*0.15),AND(F127=6,G127&gt;145),(145*1)+((G127-145)*0.15),TRUE(),G127)</f>
        <v>84.76</v>
      </c>
      <c r="AA127" s="140">
        <v>0.03</v>
      </c>
      <c r="AD127" s="136" t="s">
        <v>47</v>
      </c>
      <c r="AE127" s="64" t="b">
        <f t="shared" si="51"/>
        <v>1</v>
      </c>
      <c r="AI127" s="64" t="e">
        <f>L127='[1]מחיר מטרה-שקבלתי מאסתר'!L127</f>
        <v>#REF!</v>
      </c>
    </row>
    <row r="128" spans="1:35" ht="15.6" x14ac:dyDescent="0.3">
      <c r="A128" s="65" t="s">
        <v>67</v>
      </c>
      <c r="B128" s="66">
        <v>130</v>
      </c>
      <c r="C128" s="66">
        <v>77</v>
      </c>
      <c r="D128" s="67" t="s">
        <v>76</v>
      </c>
      <c r="E128" s="67">
        <v>20</v>
      </c>
      <c r="F128" s="67">
        <v>5</v>
      </c>
      <c r="G128" s="67">
        <v>125.32</v>
      </c>
      <c r="H128" s="67">
        <v>15</v>
      </c>
      <c r="I128" s="67">
        <v>6.25</v>
      </c>
      <c r="J128" s="109">
        <v>2</v>
      </c>
      <c r="K128" s="68">
        <f t="shared" si="39"/>
        <v>2333044.9771199999</v>
      </c>
      <c r="L128" s="69" t="s">
        <v>47</v>
      </c>
      <c r="M128" s="68">
        <f t="shared" si="50"/>
        <v>2414701.5513191996</v>
      </c>
      <c r="N128" s="68">
        <f t="shared" si="40"/>
        <v>2114701.5513191996</v>
      </c>
      <c r="O128" s="68">
        <f t="shared" si="41"/>
        <v>2496801.4040640523</v>
      </c>
      <c r="P128" s="68">
        <f t="shared" si="42"/>
        <v>382099.85274485266</v>
      </c>
      <c r="Q128" s="68">
        <f t="shared" si="43"/>
        <v>2114701.5513191996</v>
      </c>
      <c r="R128" s="78" t="s">
        <v>69</v>
      </c>
      <c r="S128" s="109">
        <v>77</v>
      </c>
      <c r="T128" s="72">
        <f t="shared" si="44"/>
        <v>15</v>
      </c>
      <c r="U128" s="72">
        <f t="shared" si="45"/>
        <v>0</v>
      </c>
      <c r="V128" s="73">
        <f t="shared" si="46"/>
        <v>0</v>
      </c>
      <c r="W128" s="73">
        <f t="shared" si="47"/>
        <v>0</v>
      </c>
      <c r="X128" s="68">
        <f t="shared" si="48"/>
        <v>466608.99542400002</v>
      </c>
      <c r="Y128" s="74">
        <f t="shared" si="49"/>
        <v>300000</v>
      </c>
      <c r="Z128" s="62">
        <f t="array" ref="Z128">_xlfn.IFS(AND(F128=3,G128&gt;90),(90*1)+((G128-90)*0.15),AND(F128=3.5,G128&gt;100),(100*1)+((G128-100)*0.15),AND(F128=4,G128&gt;110),(110*1)+((G128-110)*0.15),AND(F128=4.5,G128&gt;120),(120*1)+((G128-120)*0.15),AND(F128=5,G128&gt;125),(125*1)+((G128-125)*0.15),AND(F128=5.5,G128&gt;135),(135*1)+((G128-135)*0.15),AND(F128=6,G128&gt;145),(145*1)+((G128-145)*0.15),TRUE(),G128)</f>
        <v>125.048</v>
      </c>
      <c r="AA128" s="140">
        <v>3.5000000000000003E-2</v>
      </c>
      <c r="AD128" s="138" t="s">
        <v>54</v>
      </c>
      <c r="AE128" s="64" t="b">
        <f t="shared" si="51"/>
        <v>0</v>
      </c>
      <c r="AI128" s="64" t="e">
        <f>L128='[1]מחיר מטרה-שקבלתי מאסתר'!L128</f>
        <v>#REF!</v>
      </c>
    </row>
    <row r="129" spans="1:35" ht="15.6" x14ac:dyDescent="0.3">
      <c r="A129" s="65" t="s">
        <v>67</v>
      </c>
      <c r="B129" s="66">
        <v>130</v>
      </c>
      <c r="C129" s="66">
        <v>78</v>
      </c>
      <c r="D129" s="67" t="s">
        <v>73</v>
      </c>
      <c r="E129" s="67">
        <v>20</v>
      </c>
      <c r="F129" s="67">
        <v>4</v>
      </c>
      <c r="G129" s="67">
        <v>113.37</v>
      </c>
      <c r="H129" s="67">
        <v>14.77</v>
      </c>
      <c r="I129" s="67">
        <v>6.27</v>
      </c>
      <c r="J129" s="109">
        <v>2</v>
      </c>
      <c r="K129" s="68">
        <f t="shared" si="39"/>
        <v>2082614.0827049997</v>
      </c>
      <c r="L129" s="77" t="s">
        <v>47</v>
      </c>
      <c r="M129" s="68">
        <f t="shared" si="50"/>
        <v>2155505.5755996746</v>
      </c>
      <c r="N129" s="68">
        <f t="shared" si="40"/>
        <v>1855505.5755996746</v>
      </c>
      <c r="O129" s="68">
        <f t="shared" si="41"/>
        <v>2228792.7651700638</v>
      </c>
      <c r="P129" s="68">
        <f t="shared" si="42"/>
        <v>373287.18957038922</v>
      </c>
      <c r="Q129" s="68">
        <f t="shared" si="43"/>
        <v>1855505.5755996746</v>
      </c>
      <c r="R129" s="78" t="s">
        <v>69</v>
      </c>
      <c r="S129" s="109">
        <v>78</v>
      </c>
      <c r="T129" s="72">
        <f t="shared" si="44"/>
        <v>14.77</v>
      </c>
      <c r="U129" s="72">
        <f t="shared" si="45"/>
        <v>0</v>
      </c>
      <c r="V129" s="73">
        <f t="shared" si="46"/>
        <v>0</v>
      </c>
      <c r="W129" s="73">
        <f t="shared" si="47"/>
        <v>0</v>
      </c>
      <c r="X129" s="68">
        <f t="shared" si="48"/>
        <v>416522.81654099998</v>
      </c>
      <c r="Y129" s="74">
        <f t="shared" si="49"/>
        <v>300000</v>
      </c>
      <c r="Z129" s="62">
        <f t="array" ref="Z129">_xlfn.IFS(AND(F129=3,G129&gt;90),(90*1)+((G129-90)*0.15),AND(F129=3.5,G129&gt;100),(100*1)+((G129-100)*0.15),AND(F129=4,G129&gt;110),(110*1)+((G129-110)*0.15),AND(F129=4.5,G129&gt;120),(120*1)+((G129-120)*0.15),AND(F129=5,G129&gt;125),(125*1)+((G129-125)*0.15),AND(F129=5.5,G129&gt;135),(135*1)+((G129-135)*0.15),AND(F129=6,G129&gt;145),(145*1)+((G129-145)*0.15),TRUE(),G129)</f>
        <v>110.5055</v>
      </c>
      <c r="AA129" s="140">
        <v>3.5000000000000003E-2</v>
      </c>
      <c r="AD129" s="136" t="s">
        <v>47</v>
      </c>
      <c r="AE129" s="64" t="b">
        <f t="shared" si="51"/>
        <v>1</v>
      </c>
      <c r="AI129" s="64" t="e">
        <f>L129='[1]מחיר מטרה-שקבלתי מאסתר'!L129</f>
        <v>#REF!</v>
      </c>
    </row>
    <row r="130" spans="1:35" ht="15.6" x14ac:dyDescent="0.3">
      <c r="A130" s="65" t="s">
        <v>67</v>
      </c>
      <c r="B130" s="66">
        <v>130</v>
      </c>
      <c r="C130" s="66">
        <v>79</v>
      </c>
      <c r="D130" s="79" t="s">
        <v>71</v>
      </c>
      <c r="E130" s="79">
        <v>20</v>
      </c>
      <c r="F130" s="67">
        <v>4</v>
      </c>
      <c r="G130" s="79">
        <v>103.79</v>
      </c>
      <c r="H130" s="79">
        <v>14.98</v>
      </c>
      <c r="I130" s="79">
        <v>6.51</v>
      </c>
      <c r="J130" s="109">
        <v>2</v>
      </c>
      <c r="K130" s="68">
        <f t="shared" si="39"/>
        <v>1970178.6967199999</v>
      </c>
      <c r="L130" s="77" t="s">
        <v>47</v>
      </c>
      <c r="M130" s="68">
        <f t="shared" si="50"/>
        <v>2039134.9511051998</v>
      </c>
      <c r="N130" s="68">
        <f t="shared" si="40"/>
        <v>1739134.9511051998</v>
      </c>
      <c r="O130" s="68">
        <f t="shared" si="41"/>
        <v>2108465.5394427767</v>
      </c>
      <c r="P130" s="68">
        <f t="shared" si="42"/>
        <v>369330.58833757695</v>
      </c>
      <c r="Q130" s="68">
        <f t="shared" si="43"/>
        <v>1739134.9511051998</v>
      </c>
      <c r="R130" s="78" t="s">
        <v>69</v>
      </c>
      <c r="S130" s="109">
        <v>79</v>
      </c>
      <c r="T130" s="72">
        <f t="shared" si="44"/>
        <v>14.98</v>
      </c>
      <c r="U130" s="72">
        <f t="shared" si="45"/>
        <v>0</v>
      </c>
      <c r="V130" s="73">
        <f t="shared" si="46"/>
        <v>0</v>
      </c>
      <c r="W130" s="73">
        <f t="shared" si="47"/>
        <v>0</v>
      </c>
      <c r="X130" s="68">
        <f t="shared" si="48"/>
        <v>394035.739344</v>
      </c>
      <c r="Y130" s="74">
        <f t="shared" si="49"/>
        <v>300000</v>
      </c>
      <c r="Z130" s="62">
        <f t="array" ref="Z130">_xlfn.IFS(AND(F130=3,G130&gt;90),(90*1)+((G130-90)*0.15),AND(F130=3.5,G130&gt;100),(100*1)+((G130-100)*0.15),AND(F130=4,G130&gt;110),(110*1)+((G130-110)*0.15),AND(F130=4.5,G130&gt;120),(120*1)+((G130-120)*0.15),AND(F130=5,G130&gt;125),(125*1)+((G130-125)*0.15),AND(F130=5.5,G130&gt;135),(135*1)+((G130-135)*0.15),AND(F130=6,G130&gt;145),(145*1)+((G130-145)*0.15),TRUE(),G130)</f>
        <v>103.79</v>
      </c>
      <c r="AA130" s="140">
        <v>3.5000000000000003E-2</v>
      </c>
      <c r="AD130" s="136" t="s">
        <v>47</v>
      </c>
      <c r="AE130" s="64" t="b">
        <f t="shared" si="51"/>
        <v>1</v>
      </c>
      <c r="AI130" s="64" t="e">
        <f>L130='[1]מחיר מטרה-שקבלתי מאסתר'!L130</f>
        <v>#REF!</v>
      </c>
    </row>
    <row r="131" spans="1:35" ht="15.6" x14ac:dyDescent="0.3">
      <c r="A131" s="65" t="s">
        <v>67</v>
      </c>
      <c r="B131" s="66">
        <v>130</v>
      </c>
      <c r="C131" s="66">
        <v>80</v>
      </c>
      <c r="D131" s="67" t="s">
        <v>77</v>
      </c>
      <c r="E131" s="67">
        <v>20</v>
      </c>
      <c r="F131" s="67">
        <v>3</v>
      </c>
      <c r="G131" s="67">
        <v>86.22</v>
      </c>
      <c r="H131" s="67">
        <v>12</v>
      </c>
      <c r="I131" s="67">
        <v>6.69</v>
      </c>
      <c r="J131" s="109">
        <v>2</v>
      </c>
      <c r="K131" s="68">
        <f t="shared" si="39"/>
        <v>1654779.9902399997</v>
      </c>
      <c r="L131" s="77" t="s">
        <v>47</v>
      </c>
      <c r="M131" s="68">
        <f t="shared" si="50"/>
        <v>1712697.2898983995</v>
      </c>
      <c r="N131" s="68">
        <f t="shared" si="40"/>
        <v>1412697.2898983995</v>
      </c>
      <c r="O131" s="68">
        <f t="shared" si="41"/>
        <v>1770928.9977549452</v>
      </c>
      <c r="P131" s="68">
        <f t="shared" si="42"/>
        <v>358231.70785654569</v>
      </c>
      <c r="Q131" s="68">
        <f t="shared" si="43"/>
        <v>1412697.2898983995</v>
      </c>
      <c r="R131" s="78" t="s">
        <v>69</v>
      </c>
      <c r="S131" s="109">
        <v>80</v>
      </c>
      <c r="T131" s="72">
        <f t="shared" si="44"/>
        <v>12</v>
      </c>
      <c r="U131" s="72">
        <f t="shared" si="45"/>
        <v>0</v>
      </c>
      <c r="V131" s="73">
        <f t="shared" si="46"/>
        <v>0</v>
      </c>
      <c r="W131" s="73">
        <f t="shared" si="47"/>
        <v>0</v>
      </c>
      <c r="X131" s="68">
        <f t="shared" si="48"/>
        <v>330955.99804799998</v>
      </c>
      <c r="Y131" s="74">
        <f t="shared" si="49"/>
        <v>300000</v>
      </c>
      <c r="Z131" s="62">
        <f t="array" ref="Z131">_xlfn.IFS(AND(F131=3,G131&gt;90),(90*1)+((G131-90)*0.15),AND(F131=3.5,G131&gt;100),(100*1)+((G131-100)*0.15),AND(F131=4,G131&gt;110),(110*1)+((G131-110)*0.15),AND(F131=4.5,G131&gt;120),(120*1)+((G131-120)*0.15),AND(F131=5,G131&gt;125),(125*1)+((G131-125)*0.15),AND(F131=5.5,G131&gt;135),(135*1)+((G131-135)*0.15),AND(F131=6,G131&gt;145),(145*1)+((G131-145)*0.15),TRUE(),G131)</f>
        <v>86.22</v>
      </c>
      <c r="AA131" s="140">
        <v>3.5000000000000003E-2</v>
      </c>
      <c r="AD131" s="136" t="s">
        <v>47</v>
      </c>
      <c r="AE131" s="64" t="b">
        <f t="shared" si="51"/>
        <v>1</v>
      </c>
      <c r="AI131" s="64" t="e">
        <f>L131='[1]מחיר מטרה-שקבלתי מאסתר'!L131</f>
        <v>#REF!</v>
      </c>
    </row>
    <row r="132" spans="1:35" ht="14.25" customHeight="1" x14ac:dyDescent="0.3">
      <c r="A132" s="65" t="s">
        <v>67</v>
      </c>
      <c r="B132" s="66">
        <v>130</v>
      </c>
      <c r="C132" s="66">
        <v>81</v>
      </c>
      <c r="D132" s="67" t="s">
        <v>76</v>
      </c>
      <c r="E132" s="67">
        <v>21</v>
      </c>
      <c r="F132" s="67">
        <v>5</v>
      </c>
      <c r="G132" s="67">
        <v>125.32</v>
      </c>
      <c r="H132" s="67">
        <v>15</v>
      </c>
      <c r="I132" s="67">
        <v>6.25</v>
      </c>
      <c r="J132" s="109">
        <v>2</v>
      </c>
      <c r="K132" s="68">
        <f t="shared" si="39"/>
        <v>2333044.9771199999</v>
      </c>
      <c r="L132" s="69" t="s">
        <v>47</v>
      </c>
      <c r="M132" s="68">
        <f t="shared" si="50"/>
        <v>2426366.7762048002</v>
      </c>
      <c r="N132" s="68">
        <f t="shared" si="40"/>
        <v>2126366.7762048002</v>
      </c>
      <c r="O132" s="68">
        <f t="shared" si="41"/>
        <v>2508863.2465957636</v>
      </c>
      <c r="P132" s="68">
        <f t="shared" si="42"/>
        <v>382496.47039096337</v>
      </c>
      <c r="Q132" s="68">
        <f t="shared" si="43"/>
        <v>2126366.7762048002</v>
      </c>
      <c r="R132" s="78" t="s">
        <v>69</v>
      </c>
      <c r="S132" s="109">
        <v>81</v>
      </c>
      <c r="T132" s="72">
        <f t="shared" si="44"/>
        <v>15</v>
      </c>
      <c r="U132" s="72">
        <f t="shared" si="45"/>
        <v>0</v>
      </c>
      <c r="V132" s="73">
        <f t="shared" si="46"/>
        <v>0</v>
      </c>
      <c r="W132" s="73">
        <f t="shared" si="47"/>
        <v>0</v>
      </c>
      <c r="X132" s="68">
        <f t="shared" si="48"/>
        <v>466608.99542400002</v>
      </c>
      <c r="Y132" s="74">
        <f t="shared" si="49"/>
        <v>300000</v>
      </c>
      <c r="Z132" s="62">
        <f t="array" ref="Z132">_xlfn.IFS(AND(F132=3,G132&gt;90),(90*1)+((G132-90)*0.15),AND(F132=3.5,G132&gt;100),(100*1)+((G132-100)*0.15),AND(F132=4,G132&gt;110),(110*1)+((G132-110)*0.15),AND(F132=4.5,G132&gt;120),(120*1)+((G132-120)*0.15),AND(F132=5,G132&gt;125),(125*1)+((G132-125)*0.15),AND(F132=5.5,G132&gt;135),(135*1)+((G132-135)*0.15),AND(F132=6,G132&gt;145),(145*1)+((G132-145)*0.15),TRUE(),G132)</f>
        <v>125.048</v>
      </c>
      <c r="AA132" s="140">
        <v>0.04</v>
      </c>
      <c r="AD132" s="138" t="s">
        <v>54</v>
      </c>
      <c r="AE132" s="64" t="b">
        <f t="shared" si="51"/>
        <v>0</v>
      </c>
      <c r="AI132" s="64" t="e">
        <f>L132='[1]מחיר מטרה-שקבלתי מאסתר'!L132</f>
        <v>#REF!</v>
      </c>
    </row>
    <row r="133" spans="1:35" ht="14.25" customHeight="1" x14ac:dyDescent="0.3">
      <c r="A133" s="65" t="s">
        <v>67</v>
      </c>
      <c r="B133" s="66">
        <v>130</v>
      </c>
      <c r="C133" s="66">
        <v>82</v>
      </c>
      <c r="D133" s="67" t="s">
        <v>70</v>
      </c>
      <c r="E133" s="67">
        <v>21</v>
      </c>
      <c r="F133" s="67">
        <v>5</v>
      </c>
      <c r="G133" s="67">
        <v>113.37</v>
      </c>
      <c r="H133" s="67">
        <v>19.38</v>
      </c>
      <c r="I133" s="67">
        <v>6.27</v>
      </c>
      <c r="J133" s="109">
        <v>2</v>
      </c>
      <c r="K133" s="68">
        <f t="shared" si="39"/>
        <v>2155453.1434799996</v>
      </c>
      <c r="L133" s="77" t="s">
        <v>47</v>
      </c>
      <c r="M133" s="68">
        <f t="shared" si="50"/>
        <v>2241671.2692191997</v>
      </c>
      <c r="N133" s="68">
        <f t="shared" si="40"/>
        <v>1941671.2692191997</v>
      </c>
      <c r="O133" s="68">
        <f t="shared" si="41"/>
        <v>2317888.0923726526</v>
      </c>
      <c r="P133" s="68">
        <f t="shared" si="42"/>
        <v>376216.82315345295</v>
      </c>
      <c r="Q133" s="68">
        <f t="shared" si="43"/>
        <v>1941671.2692191997</v>
      </c>
      <c r="R133" s="78" t="s">
        <v>69</v>
      </c>
      <c r="S133" s="109">
        <v>82</v>
      </c>
      <c r="T133" s="72">
        <f t="shared" si="44"/>
        <v>19.38</v>
      </c>
      <c r="U133" s="72">
        <f t="shared" si="45"/>
        <v>0</v>
      </c>
      <c r="V133" s="73">
        <f t="shared" si="46"/>
        <v>0</v>
      </c>
      <c r="W133" s="73">
        <f t="shared" si="47"/>
        <v>0</v>
      </c>
      <c r="X133" s="68">
        <f t="shared" si="48"/>
        <v>431090.62869599997</v>
      </c>
      <c r="Y133" s="74">
        <f t="shared" si="49"/>
        <v>300000</v>
      </c>
      <c r="Z133" s="62">
        <f t="array" ref="Z133">_xlfn.IFS(AND(F133=3,G133&gt;90),(90*1)+((G133-90)*0.15),AND(F133=3.5,G133&gt;100),(100*1)+((G133-100)*0.15),AND(F133=4,G133&gt;110),(110*1)+((G133-110)*0.15),AND(F133=4.5,G133&gt;120),(120*1)+((G133-120)*0.15),AND(F133=5,G133&gt;125),(125*1)+((G133-125)*0.15),AND(F133=5.5,G133&gt;135),(135*1)+((G133-135)*0.15),AND(F133=6,G133&gt;145),(145*1)+((G133-145)*0.15),TRUE(),G133)</f>
        <v>113.37</v>
      </c>
      <c r="AA133" s="140">
        <v>0.04</v>
      </c>
      <c r="AD133" s="136" t="s">
        <v>47</v>
      </c>
      <c r="AE133" s="64" t="b">
        <f t="shared" si="51"/>
        <v>1</v>
      </c>
      <c r="AI133" s="64" t="e">
        <f>L133='[1]מחיר מטרה-שקבלתי מאסתר'!L133</f>
        <v>#REF!</v>
      </c>
    </row>
    <row r="134" spans="1:35" ht="14.25" customHeight="1" x14ac:dyDescent="0.3">
      <c r="A134" s="65" t="s">
        <v>67</v>
      </c>
      <c r="B134" s="66">
        <v>130</v>
      </c>
      <c r="C134" s="66">
        <v>83</v>
      </c>
      <c r="D134" s="79" t="s">
        <v>71</v>
      </c>
      <c r="E134" s="79">
        <v>21</v>
      </c>
      <c r="F134" s="67">
        <v>4</v>
      </c>
      <c r="G134" s="79">
        <v>103.79</v>
      </c>
      <c r="H134" s="79">
        <v>14.98</v>
      </c>
      <c r="I134" s="79">
        <v>6.51</v>
      </c>
      <c r="J134" s="109">
        <v>2</v>
      </c>
      <c r="K134" s="68">
        <f t="shared" si="39"/>
        <v>1970178.6967199999</v>
      </c>
      <c r="L134" s="77" t="s">
        <v>47</v>
      </c>
      <c r="M134" s="68">
        <f t="shared" si="50"/>
        <v>2048985.8445887999</v>
      </c>
      <c r="N134" s="68">
        <f t="shared" si="40"/>
        <v>1748985.8445887999</v>
      </c>
      <c r="O134" s="68">
        <f t="shared" si="41"/>
        <v>2118651.363304819</v>
      </c>
      <c r="P134" s="68">
        <f t="shared" si="42"/>
        <v>369665.51871601911</v>
      </c>
      <c r="Q134" s="68">
        <f t="shared" si="43"/>
        <v>1748985.8445887999</v>
      </c>
      <c r="R134" s="78" t="s">
        <v>69</v>
      </c>
      <c r="S134" s="109">
        <v>83</v>
      </c>
      <c r="T134" s="72">
        <f t="shared" si="44"/>
        <v>14.98</v>
      </c>
      <c r="U134" s="72">
        <f t="shared" si="45"/>
        <v>0</v>
      </c>
      <c r="V134" s="73">
        <f t="shared" si="46"/>
        <v>0</v>
      </c>
      <c r="W134" s="73">
        <f t="shared" si="47"/>
        <v>0</v>
      </c>
      <c r="X134" s="68">
        <f t="shared" si="48"/>
        <v>394035.739344</v>
      </c>
      <c r="Y134" s="74">
        <f t="shared" si="49"/>
        <v>300000</v>
      </c>
      <c r="Z134" s="62">
        <f t="array" ref="Z134">_xlfn.IFS(AND(F134=3,G134&gt;90),(90*1)+((G134-90)*0.15),AND(F134=3.5,G134&gt;100),(100*1)+((G134-100)*0.15),AND(F134=4,G134&gt;110),(110*1)+((G134-110)*0.15),AND(F134=4.5,G134&gt;120),(120*1)+((G134-120)*0.15),AND(F134=5,G134&gt;125),(125*1)+((G134-125)*0.15),AND(F134=5.5,G134&gt;135),(135*1)+((G134-135)*0.15),AND(F134=6,G134&gt;145),(145*1)+((G134-145)*0.15),TRUE(),G134)</f>
        <v>103.79</v>
      </c>
      <c r="AA134" s="140">
        <v>0.04</v>
      </c>
      <c r="AD134" s="136" t="s">
        <v>47</v>
      </c>
      <c r="AE134" s="64" t="b">
        <f t="shared" si="51"/>
        <v>1</v>
      </c>
      <c r="AI134" s="64" t="e">
        <f>L134='[1]מחיר מטרה-שקבלתי מאסתר'!L134</f>
        <v>#REF!</v>
      </c>
    </row>
    <row r="135" spans="1:35" ht="14.25" customHeight="1" x14ac:dyDescent="0.3">
      <c r="A135" s="65" t="s">
        <v>67</v>
      </c>
      <c r="B135" s="66">
        <v>130</v>
      </c>
      <c r="C135" s="66">
        <v>84</v>
      </c>
      <c r="D135" s="67" t="s">
        <v>77</v>
      </c>
      <c r="E135" s="67">
        <v>21</v>
      </c>
      <c r="F135" s="67">
        <v>3</v>
      </c>
      <c r="G135" s="67">
        <v>86.22</v>
      </c>
      <c r="H135" s="67">
        <v>12</v>
      </c>
      <c r="I135" s="67">
        <v>6.69</v>
      </c>
      <c r="J135" s="109">
        <v>2</v>
      </c>
      <c r="K135" s="68">
        <f t="shared" si="39"/>
        <v>1654779.9902399997</v>
      </c>
      <c r="L135" s="77" t="s">
        <v>47</v>
      </c>
      <c r="M135" s="68">
        <f t="shared" si="50"/>
        <v>1720971.1898495997</v>
      </c>
      <c r="N135" s="68">
        <f t="shared" si="40"/>
        <v>1420971.1898495997</v>
      </c>
      <c r="O135" s="68">
        <f t="shared" si="41"/>
        <v>1779484.2103044861</v>
      </c>
      <c r="P135" s="68">
        <f t="shared" si="42"/>
        <v>358513.02045488637</v>
      </c>
      <c r="Q135" s="68">
        <f t="shared" si="43"/>
        <v>1420971.1898495997</v>
      </c>
      <c r="R135" s="78" t="s">
        <v>69</v>
      </c>
      <c r="S135" s="109">
        <v>84</v>
      </c>
      <c r="T135" s="72">
        <f t="shared" si="44"/>
        <v>12</v>
      </c>
      <c r="U135" s="72">
        <f t="shared" si="45"/>
        <v>0</v>
      </c>
      <c r="V135" s="73">
        <f t="shared" si="46"/>
        <v>0</v>
      </c>
      <c r="W135" s="73">
        <f t="shared" si="47"/>
        <v>0</v>
      </c>
      <c r="X135" s="68">
        <f t="shared" si="48"/>
        <v>330955.99804799998</v>
      </c>
      <c r="Y135" s="74">
        <f t="shared" si="49"/>
        <v>300000</v>
      </c>
      <c r="Z135" s="62">
        <f t="array" ref="Z135">_xlfn.IFS(AND(F135=3,G135&gt;90),(90*1)+((G135-90)*0.15),AND(F135=3.5,G135&gt;100),(100*1)+((G135-100)*0.15),AND(F135=4,G135&gt;110),(110*1)+((G135-110)*0.15),AND(F135=4.5,G135&gt;120),(120*1)+((G135-120)*0.15),AND(F135=5,G135&gt;125),(125*1)+((G135-125)*0.15),AND(F135=5.5,G135&gt;135),(135*1)+((G135-135)*0.15),AND(F135=6,G135&gt;145),(145*1)+((G135-145)*0.15),TRUE(),G135)</f>
        <v>86.22</v>
      </c>
      <c r="AA135" s="140">
        <v>0.04</v>
      </c>
      <c r="AD135" s="136" t="s">
        <v>54</v>
      </c>
      <c r="AE135" s="64" t="b">
        <f t="shared" si="51"/>
        <v>0</v>
      </c>
      <c r="AI135" s="64" t="e">
        <f>L135='[1]מחיר מטרה-שקבלתי מאסתר'!L135</f>
        <v>#REF!</v>
      </c>
    </row>
    <row r="136" spans="1:35" ht="14.25" customHeight="1" x14ac:dyDescent="0.3">
      <c r="A136" s="65" t="s">
        <v>67</v>
      </c>
      <c r="B136" s="66">
        <v>130</v>
      </c>
      <c r="C136" s="66">
        <v>85</v>
      </c>
      <c r="D136" s="67" t="s">
        <v>78</v>
      </c>
      <c r="E136" s="67">
        <v>22</v>
      </c>
      <c r="F136" s="67">
        <v>5</v>
      </c>
      <c r="G136" s="67">
        <v>125.32</v>
      </c>
      <c r="H136" s="67">
        <v>15</v>
      </c>
      <c r="I136" s="67">
        <v>6.25</v>
      </c>
      <c r="J136" s="109">
        <v>2</v>
      </c>
      <c r="K136" s="68">
        <f t="shared" si="39"/>
        <v>2333044.9771199999</v>
      </c>
      <c r="L136" s="69" t="s">
        <v>47</v>
      </c>
      <c r="M136" s="68">
        <f t="shared" si="50"/>
        <v>2438032.0010903999</v>
      </c>
      <c r="N136" s="68">
        <f t="shared" si="40"/>
        <v>2138032.0010903999</v>
      </c>
      <c r="O136" s="68">
        <f t="shared" si="41"/>
        <v>2520925.0891274735</v>
      </c>
      <c r="P136" s="68">
        <f t="shared" si="42"/>
        <v>382893.08803707361</v>
      </c>
      <c r="Q136" s="68">
        <f t="shared" si="43"/>
        <v>2138032.0010903999</v>
      </c>
      <c r="R136" s="78" t="s">
        <v>69</v>
      </c>
      <c r="S136" s="109">
        <v>85</v>
      </c>
      <c r="T136" s="72">
        <f t="shared" si="44"/>
        <v>15</v>
      </c>
      <c r="U136" s="72">
        <f t="shared" si="45"/>
        <v>0</v>
      </c>
      <c r="V136" s="73">
        <f t="shared" si="46"/>
        <v>0</v>
      </c>
      <c r="W136" s="73">
        <f t="shared" si="47"/>
        <v>0</v>
      </c>
      <c r="X136" s="68">
        <f t="shared" si="48"/>
        <v>466608.99542400002</v>
      </c>
      <c r="Y136" s="74">
        <f t="shared" si="49"/>
        <v>300000</v>
      </c>
      <c r="Z136" s="62">
        <f t="array" ref="Z136">_xlfn.IFS(AND(F136=3,G136&gt;90),(90*1)+((G136-90)*0.15),AND(F136=3.5,G136&gt;100),(100*1)+((G136-100)*0.15),AND(F136=4,G136&gt;110),(110*1)+((G136-110)*0.15),AND(F136=4.5,G136&gt;120),(120*1)+((G136-120)*0.15),AND(F136=5,G136&gt;125),(125*1)+((G136-125)*0.15),AND(F136=5.5,G136&gt;135),(135*1)+((G136-135)*0.15),AND(F136=6,G136&gt;145),(145*1)+((G136-145)*0.15),TRUE(),G136)</f>
        <v>125.048</v>
      </c>
      <c r="AA136" s="140">
        <v>4.4999999999999998E-2</v>
      </c>
      <c r="AD136" s="138" t="s">
        <v>54</v>
      </c>
      <c r="AE136" s="64" t="b">
        <f t="shared" si="51"/>
        <v>0</v>
      </c>
      <c r="AI136" s="64" t="e">
        <f>L136='[1]מחיר מטרה-שקבלתי מאסתר'!L136</f>
        <v>#REF!</v>
      </c>
    </row>
    <row r="137" spans="1:35" ht="14.25" customHeight="1" x14ac:dyDescent="0.3">
      <c r="A137" s="65" t="s">
        <v>67</v>
      </c>
      <c r="B137" s="66">
        <v>130</v>
      </c>
      <c r="C137" s="66">
        <v>86</v>
      </c>
      <c r="D137" s="67" t="s">
        <v>73</v>
      </c>
      <c r="E137" s="67">
        <v>22</v>
      </c>
      <c r="F137" s="67">
        <v>4</v>
      </c>
      <c r="G137" s="67">
        <v>113.37</v>
      </c>
      <c r="H137" s="67">
        <v>14.77</v>
      </c>
      <c r="I137" s="67">
        <v>6.27</v>
      </c>
      <c r="J137" s="109">
        <v>2</v>
      </c>
      <c r="K137" s="68">
        <f t="shared" si="39"/>
        <v>2082614.0827049997</v>
      </c>
      <c r="L137" s="77" t="s">
        <v>47</v>
      </c>
      <c r="M137" s="68">
        <f t="shared" si="50"/>
        <v>2176331.7164267246</v>
      </c>
      <c r="N137" s="68">
        <f t="shared" si="40"/>
        <v>1876331.7164267246</v>
      </c>
      <c r="O137" s="68">
        <f t="shared" si="41"/>
        <v>2250326.9947852334</v>
      </c>
      <c r="P137" s="68">
        <f t="shared" si="42"/>
        <v>373995.27835850883</v>
      </c>
      <c r="Q137" s="68">
        <f t="shared" si="43"/>
        <v>1876331.7164267246</v>
      </c>
      <c r="R137" s="78" t="s">
        <v>69</v>
      </c>
      <c r="S137" s="109">
        <v>86</v>
      </c>
      <c r="T137" s="72">
        <f t="shared" si="44"/>
        <v>14.77</v>
      </c>
      <c r="U137" s="72">
        <f t="shared" si="45"/>
        <v>0</v>
      </c>
      <c r="V137" s="73">
        <f t="shared" si="46"/>
        <v>0</v>
      </c>
      <c r="W137" s="73">
        <f t="shared" si="47"/>
        <v>0</v>
      </c>
      <c r="X137" s="68">
        <f t="shared" si="48"/>
        <v>416522.81654099998</v>
      </c>
      <c r="Y137" s="74">
        <f t="shared" si="49"/>
        <v>300000</v>
      </c>
      <c r="Z137" s="62">
        <f t="array" ref="Z137">_xlfn.IFS(AND(F137=3,G137&gt;90),(90*1)+((G137-90)*0.15),AND(F137=3.5,G137&gt;100),(100*1)+((G137-100)*0.15),AND(F137=4,G137&gt;110),(110*1)+((G137-110)*0.15),AND(F137=4.5,G137&gt;120),(120*1)+((G137-120)*0.15),AND(F137=5,G137&gt;125),(125*1)+((G137-125)*0.15),AND(F137=5.5,G137&gt;135),(135*1)+((G137-135)*0.15),AND(F137=6,G137&gt;145),(145*1)+((G137-145)*0.15),TRUE(),G137)</f>
        <v>110.5055</v>
      </c>
      <c r="AA137" s="140">
        <v>4.4999999999999998E-2</v>
      </c>
      <c r="AD137" s="136" t="s">
        <v>47</v>
      </c>
      <c r="AE137" s="64" t="b">
        <f t="shared" si="51"/>
        <v>1</v>
      </c>
      <c r="AI137" s="64" t="e">
        <f>L137='[1]מחיר מטרה-שקבלתי מאסתר'!L137</f>
        <v>#REF!</v>
      </c>
    </row>
    <row r="138" spans="1:35" ht="14.25" customHeight="1" x14ac:dyDescent="0.3">
      <c r="A138" s="141" t="s">
        <v>79</v>
      </c>
      <c r="B138" s="66">
        <v>130</v>
      </c>
      <c r="C138" s="66">
        <v>87</v>
      </c>
      <c r="D138" s="79" t="s">
        <v>80</v>
      </c>
      <c r="E138" s="79">
        <v>22</v>
      </c>
      <c r="F138" s="67">
        <v>4</v>
      </c>
      <c r="G138" s="79">
        <v>103.79</v>
      </c>
      <c r="H138" s="79">
        <v>14.97</v>
      </c>
      <c r="I138" s="79">
        <v>6.51</v>
      </c>
      <c r="J138" s="109">
        <v>2</v>
      </c>
      <c r="K138" s="68">
        <f t="shared" si="39"/>
        <v>1970127.2506499998</v>
      </c>
      <c r="L138" s="77" t="s">
        <v>47</v>
      </c>
      <c r="M138" s="68">
        <f t="shared" si="50"/>
        <v>2058782.9769292497</v>
      </c>
      <c r="N138" s="68">
        <f t="shared" si="40"/>
        <v>1758782.9769292497</v>
      </c>
      <c r="O138" s="68">
        <f t="shared" si="41"/>
        <v>2128781.5981448442</v>
      </c>
      <c r="P138" s="68">
        <f t="shared" si="42"/>
        <v>369998.62121559447</v>
      </c>
      <c r="Q138" s="68">
        <f t="shared" si="43"/>
        <v>1758782.9769292497</v>
      </c>
      <c r="R138" s="142" t="s">
        <v>81</v>
      </c>
      <c r="S138" s="109">
        <v>87</v>
      </c>
      <c r="T138" s="72">
        <f t="shared" si="44"/>
        <v>14.97</v>
      </c>
      <c r="U138" s="72">
        <f t="shared" si="45"/>
        <v>0</v>
      </c>
      <c r="V138" s="73">
        <f t="shared" si="46"/>
        <v>0</v>
      </c>
      <c r="W138" s="73">
        <f t="shared" si="47"/>
        <v>0</v>
      </c>
      <c r="X138" s="68">
        <f t="shared" si="48"/>
        <v>394025.45013000001</v>
      </c>
      <c r="Y138" s="74">
        <f t="shared" si="49"/>
        <v>300000</v>
      </c>
      <c r="Z138" s="62">
        <f t="array" ref="Z138">_xlfn.IFS(AND(F138=3,G138&gt;90),(90*1)+((G138-90)*0.15),AND(F138=3.5,G138&gt;100),(100*1)+((G138-100)*0.15),AND(F138=4,G138&gt;110),(110*1)+((G138-110)*0.15),AND(F138=4.5,G138&gt;120),(120*1)+((G138-120)*0.15),AND(F138=5,G138&gt;125),(125*1)+((G138-125)*0.15),AND(F138=5.5,G138&gt;135),(135*1)+((G138-135)*0.15),AND(F138=6,G138&gt;145),(145*1)+((G138-145)*0.15),TRUE(),G138)</f>
        <v>103.79</v>
      </c>
      <c r="AA138" s="140">
        <v>4.4999999999999998E-2</v>
      </c>
      <c r="AD138" s="136" t="s">
        <v>47</v>
      </c>
      <c r="AE138" s="64" t="b">
        <f t="shared" si="51"/>
        <v>1</v>
      </c>
      <c r="AI138" s="64" t="e">
        <f>L138='[1]מחיר מטרה-שקבלתי מאסתר'!L138</f>
        <v>#REF!</v>
      </c>
    </row>
    <row r="139" spans="1:35" ht="14.25" customHeight="1" x14ac:dyDescent="0.3">
      <c r="A139" s="65" t="s">
        <v>67</v>
      </c>
      <c r="B139" s="66">
        <v>130</v>
      </c>
      <c r="C139" s="66">
        <v>88</v>
      </c>
      <c r="D139" s="67" t="s">
        <v>82</v>
      </c>
      <c r="E139" s="67">
        <v>22</v>
      </c>
      <c r="F139" s="67">
        <v>3</v>
      </c>
      <c r="G139" s="67">
        <v>86.22</v>
      </c>
      <c r="H139" s="67">
        <v>12</v>
      </c>
      <c r="I139" s="67">
        <v>6.69</v>
      </c>
      <c r="J139" s="109">
        <v>2</v>
      </c>
      <c r="K139" s="68">
        <f t="shared" si="39"/>
        <v>1654779.9902399997</v>
      </c>
      <c r="L139" s="77" t="s">
        <v>47</v>
      </c>
      <c r="M139" s="68">
        <f t="shared" si="50"/>
        <v>1729245.0898007995</v>
      </c>
      <c r="N139" s="68">
        <f t="shared" si="40"/>
        <v>1429245.0898007995</v>
      </c>
      <c r="O139" s="68">
        <f t="shared" si="41"/>
        <v>1788039.4228540268</v>
      </c>
      <c r="P139" s="68">
        <f t="shared" si="42"/>
        <v>358794.33305322728</v>
      </c>
      <c r="Q139" s="68">
        <f t="shared" si="43"/>
        <v>1429245.0898007995</v>
      </c>
      <c r="R139" s="78" t="s">
        <v>69</v>
      </c>
      <c r="S139" s="109">
        <v>88</v>
      </c>
      <c r="T139" s="72">
        <f t="shared" si="44"/>
        <v>12</v>
      </c>
      <c r="U139" s="72">
        <f t="shared" si="45"/>
        <v>0</v>
      </c>
      <c r="V139" s="73">
        <f t="shared" si="46"/>
        <v>0</v>
      </c>
      <c r="W139" s="73">
        <f t="shared" si="47"/>
        <v>0</v>
      </c>
      <c r="X139" s="68">
        <f t="shared" si="48"/>
        <v>330955.99804799998</v>
      </c>
      <c r="Y139" s="74">
        <f t="shared" si="49"/>
        <v>300000</v>
      </c>
      <c r="Z139" s="62">
        <f t="array" ref="Z139">_xlfn.IFS(AND(F139=3,G139&gt;90),(90*1)+((G139-90)*0.15),AND(F139=3.5,G139&gt;100),(100*1)+((G139-100)*0.15),AND(F139=4,G139&gt;110),(110*1)+((G139-110)*0.15),AND(F139=4.5,G139&gt;120),(120*1)+((G139-120)*0.15),AND(F139=5,G139&gt;125),(125*1)+((G139-125)*0.15),AND(F139=5.5,G139&gt;135),(135*1)+((G139-135)*0.15),AND(F139=6,G139&gt;145),(145*1)+((G139-145)*0.15),TRUE(),G139)</f>
        <v>86.22</v>
      </c>
      <c r="AA139" s="140">
        <v>4.4999999999999998E-2</v>
      </c>
      <c r="AD139" s="136" t="s">
        <v>47</v>
      </c>
      <c r="AE139" s="64" t="b">
        <f t="shared" si="51"/>
        <v>1</v>
      </c>
      <c r="AI139" s="64" t="e">
        <f>L139='[1]מחיר מטרה-שקבלתי מאסתר'!L139</f>
        <v>#REF!</v>
      </c>
    </row>
    <row r="140" spans="1:35" ht="14.25" customHeight="1" x14ac:dyDescent="0.3">
      <c r="A140" s="65" t="s">
        <v>67</v>
      </c>
      <c r="B140" s="66">
        <v>130</v>
      </c>
      <c r="C140" s="66">
        <v>89</v>
      </c>
      <c r="D140" s="67" t="s">
        <v>83</v>
      </c>
      <c r="E140" s="67">
        <v>23</v>
      </c>
      <c r="F140" s="67">
        <v>6</v>
      </c>
      <c r="G140" s="67">
        <v>170.38</v>
      </c>
      <c r="H140" s="67">
        <v>105.1</v>
      </c>
      <c r="I140" s="67">
        <v>10.210000000000001</v>
      </c>
      <c r="J140" s="109">
        <v>2</v>
      </c>
      <c r="K140" s="68">
        <f>(SUMPRODUCT(H140:J140,$H$10:$J$10)+$G$10*Z140+SUMPRODUCT(T140:W140,$T$10:$W$10))*$K$8</f>
        <v>3025046.0646899994</v>
      </c>
      <c r="L140" s="69" t="s">
        <v>47</v>
      </c>
      <c r="M140" s="68">
        <f t="shared" si="50"/>
        <v>3176298.3679244993</v>
      </c>
      <c r="N140" s="68">
        <f>M140-Y140</f>
        <v>2876298.3679244993</v>
      </c>
      <c r="O140" s="68">
        <f t="shared" si="41"/>
        <v>3284292.5124339326</v>
      </c>
      <c r="P140" s="68">
        <f>O140-N140</f>
        <v>407994.1445094333</v>
      </c>
      <c r="Q140" s="68">
        <f>IF(P140&lt;500000,N140,P140-500000+N140)</f>
        <v>2876298.3679244993</v>
      </c>
      <c r="R140" s="78" t="s">
        <v>69</v>
      </c>
      <c r="S140" s="109">
        <v>89</v>
      </c>
      <c r="T140" s="72">
        <f t="shared" si="44"/>
        <v>30</v>
      </c>
      <c r="U140" s="72">
        <f>IF((H140-T140)&gt;30,30,(H140-T140))</f>
        <v>30</v>
      </c>
      <c r="V140" s="73">
        <f>IF((H140)&gt;120,60,(H140-T140-U140))</f>
        <v>45.099999999999994</v>
      </c>
      <c r="W140" s="73">
        <f t="shared" si="47"/>
        <v>0</v>
      </c>
      <c r="X140" s="68">
        <f t="shared" si="48"/>
        <v>605009.21293799987</v>
      </c>
      <c r="Y140" s="74">
        <f>IF(X140&gt;300000,300000,X140)</f>
        <v>300000</v>
      </c>
      <c r="Z140" s="62">
        <f t="array" ref="Z140">_xlfn.IFS(AND(F140=3,G140&gt;90),(90*1)+((G140-90)*0.15),AND(F140=3.5,G140&gt;100),(100*1)+((G140-100)*0.15),AND(F140=4,G140&gt;110),(110*1)+((G140-110)*0.15),AND(F140=4.5,G140&gt;120),(120*1)+((G140-120)*0.15),AND(F140=5,G140&gt;125),(125*1)+((G140-125)*0.15),AND(F140=5.5,G140&gt;135),(135*1)+((G140-135)*0.15),AND(F140=6,G140&gt;145),(145*1)+((G140-145)*0.15),TRUE(),G140)</f>
        <v>148.80699999999999</v>
      </c>
      <c r="AA140" s="140">
        <v>0.05</v>
      </c>
      <c r="AD140" s="138" t="s">
        <v>54</v>
      </c>
      <c r="AE140" s="64" t="b">
        <f t="shared" si="51"/>
        <v>0</v>
      </c>
      <c r="AI140" s="64" t="e">
        <f>L140='[1]מחיר מטרה-שקבלתי מאסתר'!L140</f>
        <v>#REF!</v>
      </c>
    </row>
    <row r="141" spans="1:35" ht="14.25" customHeight="1" x14ac:dyDescent="0.3">
      <c r="A141" s="65" t="s">
        <v>67</v>
      </c>
      <c r="B141" s="66">
        <v>130</v>
      </c>
      <c r="C141" s="66">
        <v>90</v>
      </c>
      <c r="D141" s="67" t="s">
        <v>84</v>
      </c>
      <c r="E141" s="67">
        <v>23</v>
      </c>
      <c r="F141" s="67">
        <v>5.5</v>
      </c>
      <c r="G141" s="67">
        <v>174.22</v>
      </c>
      <c r="H141" s="67">
        <v>68.27</v>
      </c>
      <c r="I141" s="67">
        <v>10.73</v>
      </c>
      <c r="J141" s="109">
        <v>2</v>
      </c>
      <c r="K141" s="68">
        <f>(SUMPRODUCT(H141:J141,$H$10:$J$10)+$G$10*Z141+SUMPRODUCT(T141:W141,$T$10:$W$10))*$K$8</f>
        <v>2829568.14738</v>
      </c>
      <c r="L141" s="69" t="s">
        <v>47</v>
      </c>
      <c r="M141" s="68">
        <f t="shared" si="50"/>
        <v>2971046.5547489999</v>
      </c>
      <c r="N141" s="68">
        <f>M141-Y141</f>
        <v>2671046.5547489999</v>
      </c>
      <c r="O141" s="68">
        <f t="shared" si="41"/>
        <v>3072062.1376104658</v>
      </c>
      <c r="P141" s="68">
        <f>O141-N141</f>
        <v>401015.58286146587</v>
      </c>
      <c r="Q141" s="68">
        <f>IF(P141&lt;500000,N141,P141-500000+N141)</f>
        <v>2671046.5547489999</v>
      </c>
      <c r="R141" s="78" t="s">
        <v>85</v>
      </c>
      <c r="S141" s="109">
        <v>41</v>
      </c>
      <c r="T141" s="72">
        <f t="shared" si="44"/>
        <v>30</v>
      </c>
      <c r="U141" s="72">
        <f>IF((H141-T141)&gt;30,30,(H141-T141))</f>
        <v>30</v>
      </c>
      <c r="V141" s="73">
        <f>IF((H141)&gt;120,60,(H141-T141-U141))</f>
        <v>8.269999999999996</v>
      </c>
      <c r="W141" s="73">
        <f t="shared" si="47"/>
        <v>0</v>
      </c>
      <c r="X141" s="68">
        <f t="shared" si="48"/>
        <v>565913.62947599997</v>
      </c>
      <c r="Y141" s="74">
        <f>IF(X141&gt;300000,300000,X141)</f>
        <v>300000</v>
      </c>
      <c r="Z141" s="62">
        <f t="array" ref="Z141">_xlfn.IFS(AND(F141=3,G141&gt;90),(90*1)+((G141-90)*0.15),AND(F141=3.5,G141&gt;100),(100*1)+((G141-100)*0.15),AND(F141=4,G141&gt;110),(110*1)+((G141-110)*0.15),AND(F141=4.5,G141&gt;120),(120*1)+((G141-120)*0.15),AND(F141=5,G141&gt;125),(125*1)+((G141-125)*0.15),AND(F141=5.5,G141&gt;135),(135*1)+((G141-135)*0.15),AND(F141=6,G141&gt;145),(145*1)+((G141-145)*0.15),TRUE(),G141)</f>
        <v>140.88300000000001</v>
      </c>
      <c r="AA141" s="140">
        <v>0.05</v>
      </c>
      <c r="AD141" s="136" t="s">
        <v>47</v>
      </c>
      <c r="AE141" s="64" t="b">
        <f t="shared" si="51"/>
        <v>1</v>
      </c>
      <c r="AI141" s="64" t="e">
        <f>L141='[1]מחיר מטרה-שקבלתי מאסתר'!L141</f>
        <v>#REF!</v>
      </c>
    </row>
    <row r="142" spans="1:35" ht="14.25" customHeight="1" x14ac:dyDescent="0.3">
      <c r="A142" s="65" t="s">
        <v>67</v>
      </c>
      <c r="B142" s="66">
        <v>130</v>
      </c>
      <c r="C142" s="66">
        <v>91</v>
      </c>
      <c r="D142" s="67" t="s">
        <v>86</v>
      </c>
      <c r="E142" s="67">
        <v>24</v>
      </c>
      <c r="F142" s="67">
        <v>5</v>
      </c>
      <c r="G142" s="67">
        <v>140.07</v>
      </c>
      <c r="H142" s="67">
        <v>44.07</v>
      </c>
      <c r="I142" s="67">
        <v>10.24</v>
      </c>
      <c r="J142" s="109">
        <v>2</v>
      </c>
      <c r="K142" s="68">
        <f>(SUMPRODUCT(H142:J142,$H$10:$J$10)+$G$10*Z142+SUMPRODUCT(T142:W142,$T$10:$W$10))*$K$8</f>
        <v>2523781.2816449995</v>
      </c>
      <c r="L142" s="69" t="s">
        <v>47</v>
      </c>
      <c r="M142" s="68">
        <f t="shared" si="50"/>
        <v>2649970.3457272495</v>
      </c>
      <c r="N142" s="68">
        <f>M142-Y142</f>
        <v>2349970.3457272495</v>
      </c>
      <c r="O142" s="68">
        <f t="shared" si="41"/>
        <v>2740069.337481976</v>
      </c>
      <c r="P142" s="68">
        <f>O142-N142</f>
        <v>390098.99175472651</v>
      </c>
      <c r="Q142" s="68">
        <f>IF(P142&lt;500000,N142,P142-500000+N142)</f>
        <v>2349970.3457272495</v>
      </c>
      <c r="R142" s="78" t="s">
        <v>85</v>
      </c>
      <c r="S142" s="109">
        <v>42</v>
      </c>
      <c r="T142" s="72">
        <f t="shared" si="44"/>
        <v>30</v>
      </c>
      <c r="U142" s="72">
        <f>IF((H142-T142)&gt;30,30,(H142-T142))</f>
        <v>14.07</v>
      </c>
      <c r="V142" s="73">
        <f>IF((H142)&gt;120,60,(H142-T142-U142))</f>
        <v>0</v>
      </c>
      <c r="W142" s="73">
        <f t="shared" si="47"/>
        <v>0</v>
      </c>
      <c r="X142" s="68">
        <f t="shared" si="48"/>
        <v>504756.25632899994</v>
      </c>
      <c r="Y142" s="74">
        <f>IF(X142&gt;300000,300000,X142)</f>
        <v>300000</v>
      </c>
      <c r="Z142" s="62">
        <f t="array" ref="Z142">_xlfn.IFS(AND(F142=3,G142&gt;90),(90*1)+((G142-90)*0.15),AND(F142=3.5,G142&gt;100),(100*1)+((G142-100)*0.15),AND(F142=4,G142&gt;110),(110*1)+((G142-110)*0.15),AND(F142=4.5,G142&gt;120),(120*1)+((G142-120)*0.15),AND(F142=5,G142&gt;125),(125*1)+((G142-125)*0.15),AND(F142=5.5,G142&gt;135),(135*1)+((G142-135)*0.15),AND(F142=6,G142&gt;145),(145*1)+((G142-145)*0.15),TRUE(),G142)</f>
        <v>127.26049999999999</v>
      </c>
      <c r="AA142" s="140">
        <v>0.05</v>
      </c>
      <c r="AD142" s="136" t="s">
        <v>47</v>
      </c>
      <c r="AE142" s="64" t="b">
        <f t="shared" si="51"/>
        <v>1</v>
      </c>
      <c r="AI142" s="64" t="e">
        <f>L142='[1]מחיר מטרה-שקבלתי מאסתר'!L142</f>
        <v>#REF!</v>
      </c>
    </row>
    <row r="143" spans="1:35" ht="14.25" customHeight="1" x14ac:dyDescent="0.3">
      <c r="A143" s="65" t="s">
        <v>67</v>
      </c>
      <c r="B143" s="66">
        <v>130</v>
      </c>
      <c r="C143" s="66">
        <v>92</v>
      </c>
      <c r="D143" s="67" t="s">
        <v>87</v>
      </c>
      <c r="E143" s="67">
        <v>24</v>
      </c>
      <c r="F143" s="67">
        <v>6</v>
      </c>
      <c r="G143" s="67">
        <v>148.04</v>
      </c>
      <c r="H143" s="67">
        <v>33.94</v>
      </c>
      <c r="I143" s="67">
        <v>10.51</v>
      </c>
      <c r="J143" s="109">
        <v>2</v>
      </c>
      <c r="K143" s="68">
        <f>(SUMPRODUCT(H143:J143,$H$10:$J$10)+$G$10*Z143+SUMPRODUCT(T143:W143,$T$10:$W$10))*$K$8</f>
        <v>2802919.0831200001</v>
      </c>
      <c r="L143" s="69" t="s">
        <v>47</v>
      </c>
      <c r="M143" s="68">
        <f t="shared" si="50"/>
        <v>2943065.0372760003</v>
      </c>
      <c r="N143" s="68">
        <f>M143-Y143</f>
        <v>2643065.0372760003</v>
      </c>
      <c r="O143" s="68">
        <f t="shared" si="41"/>
        <v>3043129.2485433845</v>
      </c>
      <c r="P143" s="68">
        <f>O143-N143</f>
        <v>400064.21126738423</v>
      </c>
      <c r="Q143" s="68">
        <f>IF(P143&lt;500000,N143,P143-500000+N143)</f>
        <v>2643065.0372760003</v>
      </c>
      <c r="R143" s="78" t="s">
        <v>85</v>
      </c>
      <c r="S143" s="109">
        <v>43</v>
      </c>
      <c r="T143" s="72">
        <f t="shared" si="44"/>
        <v>30</v>
      </c>
      <c r="U143" s="72">
        <f>IF((H143-T143)&gt;30,30,(H143-T143))</f>
        <v>3.9399999999999977</v>
      </c>
      <c r="V143" s="73">
        <f>IF((H143)&gt;120,60,(H143-T143-U143))</f>
        <v>0</v>
      </c>
      <c r="W143" s="73">
        <f t="shared" si="47"/>
        <v>0</v>
      </c>
      <c r="X143" s="68">
        <f t="shared" si="48"/>
        <v>560583.81662400009</v>
      </c>
      <c r="Y143" s="74">
        <f>IF(X143&gt;300000,300000,X143)</f>
        <v>300000</v>
      </c>
      <c r="Z143" s="62">
        <f t="array" ref="Z143">_xlfn.IFS(AND(F143=3,G143&gt;90),(90*1)+((G143-90)*0.15),AND(F143=3.5,G143&gt;100),(100*1)+((G143-100)*0.15),AND(F143=4,G143&gt;110),(110*1)+((G143-110)*0.15),AND(F143=4.5,G143&gt;120),(120*1)+((G143-120)*0.15),AND(F143=5,G143&gt;125),(125*1)+((G143-125)*0.15),AND(F143=5.5,G143&gt;135),(135*1)+((G143-135)*0.15),AND(F143=6,G143&gt;145),(145*1)+((G143-145)*0.15),TRUE(),G143)</f>
        <v>145.45599999999999</v>
      </c>
      <c r="AA143" s="140">
        <v>0.05</v>
      </c>
      <c r="AD143" s="136" t="s">
        <v>47</v>
      </c>
      <c r="AE143" s="64" t="b">
        <f t="shared" si="51"/>
        <v>1</v>
      </c>
      <c r="AI143" s="64" t="e">
        <f>L143='[1]מחיר מטרה-שקבלתי מאסתר'!L143</f>
        <v>#REF!</v>
      </c>
    </row>
    <row r="144" spans="1:35" ht="14.25" customHeight="1" x14ac:dyDescent="0.3">
      <c r="A144" s="65" t="s">
        <v>67</v>
      </c>
      <c r="B144" s="66">
        <v>130</v>
      </c>
      <c r="C144" s="66">
        <v>93</v>
      </c>
      <c r="D144" s="67" t="s">
        <v>88</v>
      </c>
      <c r="E144" s="67">
        <v>25</v>
      </c>
      <c r="F144" s="67">
        <v>6</v>
      </c>
      <c r="G144" s="67">
        <v>175.49</v>
      </c>
      <c r="H144" s="67">
        <v>104.99</v>
      </c>
      <c r="I144" s="67">
        <v>9.75</v>
      </c>
      <c r="J144" s="109">
        <v>2</v>
      </c>
      <c r="K144" s="68">
        <f>(SUMPRODUCT(H144:J144,$H$10:$J$10)+$G$10*Z144+SUMPRODUCT(T144:W144,$T$10:$W$10))*$K$8</f>
        <v>3034846.5410249997</v>
      </c>
      <c r="L144" s="69" t="s">
        <v>47</v>
      </c>
      <c r="M144" s="68">
        <f t="shared" si="50"/>
        <v>3034846.5410249997</v>
      </c>
      <c r="N144" s="68">
        <f>M144-Y144</f>
        <v>2734846.5410249997</v>
      </c>
      <c r="O144" s="68">
        <f t="shared" si="41"/>
        <v>3138031.3234198499</v>
      </c>
      <c r="P144" s="68">
        <f>O144-N144</f>
        <v>403184.78239485016</v>
      </c>
      <c r="Q144" s="68">
        <f>IF(P144&lt;500000,N144,P144-500000+N144)</f>
        <v>2734846.5410249997</v>
      </c>
      <c r="R144" s="70" t="s">
        <v>69</v>
      </c>
      <c r="S144" s="109">
        <v>93</v>
      </c>
      <c r="T144" s="72">
        <f t="shared" si="44"/>
        <v>30</v>
      </c>
      <c r="U144" s="72">
        <f>IF((H144-T144)&gt;30,30,(H144-T144))</f>
        <v>30</v>
      </c>
      <c r="V144" s="73">
        <f>IF((H144)&gt;120,60,(H144-T144-U144))</f>
        <v>44.989999999999995</v>
      </c>
      <c r="W144" s="73">
        <f t="shared" si="47"/>
        <v>0</v>
      </c>
      <c r="X144" s="68">
        <f t="shared" si="48"/>
        <v>606969.30820500001</v>
      </c>
      <c r="Y144" s="74">
        <f>IF(X144&gt;300000,300000,X144)</f>
        <v>300000</v>
      </c>
      <c r="Z144" s="62">
        <f t="array" ref="Z144">_xlfn.IFS(AND(F144=3,G144&gt;90),(90*1)+((G144-90)*0.15),AND(F144=3.5,G144&gt;100),(100*1)+((G144-100)*0.15),AND(F144=4,G144&gt;110),(110*1)+((G144-110)*0.15),AND(F144=4.5,G144&gt;120),(120*1)+((G144-120)*0.15),AND(F144=5,G144&gt;125),(125*1)+((G144-125)*0.15),AND(F144=5.5,G144&gt;135),(135*1)+((G144-135)*0.15),AND(F144=6,G144&gt;145),(145*1)+((G144-145)*0.15),TRUE(),G144)</f>
        <v>149.5735</v>
      </c>
      <c r="AA144" s="140">
        <v>0</v>
      </c>
      <c r="AD144" s="136" t="s">
        <v>47</v>
      </c>
      <c r="AE144" s="64" t="b">
        <f t="shared" si="51"/>
        <v>1</v>
      </c>
      <c r="AI144" s="64" t="e">
        <f>L144='[1]מחיר מטרה-שקבלתי מאסתר'!L144</f>
        <v>#REF!</v>
      </c>
    </row>
    <row r="145" spans="1:35" ht="14.25" customHeight="1" x14ac:dyDescent="0.35">
      <c r="A145" s="143" t="s">
        <v>89</v>
      </c>
      <c r="B145" s="144"/>
      <c r="C145" s="144"/>
      <c r="D145" s="144"/>
      <c r="E145" s="144"/>
      <c r="F145" s="144"/>
      <c r="G145" s="145">
        <f>SUMIF(L132:L143,"כן",G132:G143)</f>
        <v>0</v>
      </c>
      <c r="H145" s="146"/>
      <c r="I145" s="147" t="s">
        <v>90</v>
      </c>
      <c r="J145" s="148"/>
      <c r="K145" s="149"/>
      <c r="L145" s="150">
        <f>COUNTIF(L132:L143,"כן")</f>
        <v>0</v>
      </c>
      <c r="M145" s="150"/>
      <c r="N145" s="150"/>
      <c r="O145" s="150"/>
      <c r="P145" s="151" t="s">
        <v>91</v>
      </c>
      <c r="Q145" s="152">
        <f>SUMIF(L132:L143,"כן",Q132:Q143)</f>
        <v>0</v>
      </c>
      <c r="R145" s="153"/>
      <c r="S145" s="154"/>
      <c r="T145" s="62"/>
      <c r="U145" s="146"/>
      <c r="V145" s="146"/>
      <c r="W145" s="62"/>
      <c r="X145" s="62"/>
      <c r="Y145" s="155"/>
      <c r="Z145" s="62"/>
      <c r="AA145" s="110"/>
      <c r="AD145" s="136" t="s">
        <v>47</v>
      </c>
      <c r="AE145" s="64" t="b">
        <f t="shared" si="51"/>
        <v>0</v>
      </c>
      <c r="AI145" s="64" t="e">
        <f>L145='[1]מחיר מטרה-שקבלתי מאסתר'!L145</f>
        <v>#REF!</v>
      </c>
    </row>
    <row r="146" spans="1:35" ht="15" customHeight="1" x14ac:dyDescent="0.35">
      <c r="A146" s="156" t="s">
        <v>92</v>
      </c>
      <c r="B146" s="157"/>
      <c r="C146" s="157"/>
      <c r="D146" s="157"/>
      <c r="E146" s="157"/>
      <c r="F146" s="157"/>
      <c r="G146" s="158">
        <f>SUM(G126:G145)/20</f>
        <v>114.14249999999997</v>
      </c>
      <c r="H146" s="159"/>
      <c r="I146" s="160" t="s">
        <v>93</v>
      </c>
      <c r="J146" s="161"/>
      <c r="K146" s="160"/>
      <c r="L146" s="160">
        <f>COUNTIF(L126:L145,"כן")/COUNT(C126:C145)</f>
        <v>0</v>
      </c>
      <c r="M146" s="160"/>
      <c r="N146" s="160"/>
      <c r="O146" s="160"/>
      <c r="P146" s="160"/>
      <c r="Q146" s="160"/>
      <c r="R146" s="162"/>
      <c r="S146" s="161"/>
      <c r="T146" s="160"/>
      <c r="U146" s="160"/>
      <c r="V146" s="160"/>
      <c r="W146" s="160"/>
      <c r="X146" s="160"/>
      <c r="Y146" s="163"/>
      <c r="Z146" s="159"/>
      <c r="AA146" s="164"/>
      <c r="AD146" s="165" t="s">
        <v>47</v>
      </c>
      <c r="AE146" s="64" t="b">
        <f t="shared" si="51"/>
        <v>0</v>
      </c>
      <c r="AI146" s="64" t="e">
        <f>L146='[1]מחיר מטרה-שקבלתי מאסתר'!L146</f>
        <v>#REF!</v>
      </c>
    </row>
    <row r="147" spans="1:35" ht="15.6" x14ac:dyDescent="0.35">
      <c r="A147" s="166" t="s">
        <v>92</v>
      </c>
      <c r="B147" s="167"/>
      <c r="C147" s="167"/>
      <c r="D147" s="167"/>
      <c r="E147" s="167"/>
      <c r="F147" s="168"/>
      <c r="G147" s="169">
        <f>SUM(G127:G146)/20</f>
        <v>114.66012499999997</v>
      </c>
      <c r="H147" s="170"/>
      <c r="I147" s="171" t="s">
        <v>93</v>
      </c>
      <c r="J147" s="171"/>
      <c r="K147" s="171"/>
      <c r="L147" s="172">
        <f>COUNTIF(L127:L146,"כן")/COUNT(C127:C146)</f>
        <v>0</v>
      </c>
      <c r="M147" s="171"/>
      <c r="N147" s="171"/>
      <c r="O147" s="171"/>
      <c r="P147" s="171"/>
      <c r="Q147" s="171"/>
      <c r="R147" s="173"/>
      <c r="S147" s="174"/>
      <c r="T147" s="172"/>
      <c r="U147" s="172"/>
      <c r="V147" s="172"/>
      <c r="W147" s="172"/>
      <c r="X147" s="172"/>
      <c r="Y147" s="172"/>
      <c r="AA147" s="175"/>
      <c r="AE147" s="64" t="b">
        <f t="shared" si="51"/>
        <v>1</v>
      </c>
      <c r="AI147">
        <f>COUNTIF(AI12:AI146,"FALSE")</f>
        <v>0</v>
      </c>
    </row>
    <row r="148" spans="1:35" ht="14.25" customHeight="1" x14ac:dyDescent="0.35">
      <c r="A148" s="176" t="s">
        <v>92</v>
      </c>
      <c r="B148" s="177"/>
      <c r="C148" s="177"/>
      <c r="D148" s="177"/>
      <c r="E148" s="177"/>
      <c r="F148" s="178"/>
      <c r="G148" s="169">
        <f>SUM(G55:G147)/93</f>
        <v>108.44895295698926</v>
      </c>
      <c r="I148" s="179" t="s">
        <v>93</v>
      </c>
      <c r="J148" s="180"/>
      <c r="K148" s="181"/>
      <c r="L148" s="182">
        <f>COUNTIF(L55:L147,"כן")/COUNT(C55:C147)</f>
        <v>0.41111111111111109</v>
      </c>
      <c r="M148" s="172"/>
      <c r="N148" s="172"/>
      <c r="O148" s="172"/>
      <c r="P148" s="172"/>
      <c r="Q148" s="172"/>
      <c r="R148" s="183"/>
      <c r="U148" s="184"/>
      <c r="AE148" s="64" t="b">
        <f t="shared" si="51"/>
        <v>0</v>
      </c>
    </row>
    <row r="149" spans="1:35" ht="15.6" x14ac:dyDescent="0.35">
      <c r="A149" s="185" t="s">
        <v>94</v>
      </c>
      <c r="B149" s="186"/>
      <c r="C149" s="186"/>
      <c r="D149" s="186"/>
      <c r="E149" s="186"/>
      <c r="F149" s="187"/>
      <c r="G149" s="188" t="e">
        <f>SUM(#REF!,#REF!,G138:G146)/133</f>
        <v>#REF!</v>
      </c>
      <c r="H149" s="189"/>
      <c r="I149" s="190" t="s">
        <v>95</v>
      </c>
      <c r="J149" s="191"/>
      <c r="K149" s="192"/>
      <c r="L149" s="193">
        <f>COUNTIF(L138:L146,"כן")/COUNT(C138:C146)</f>
        <v>0</v>
      </c>
      <c r="M149" s="194"/>
      <c r="N149" s="194"/>
      <c r="O149" s="194"/>
      <c r="P149" s="195" t="s">
        <v>96</v>
      </c>
      <c r="Q149" s="196">
        <f>SUMIF(L138:L146,"לא",Q138:Q146)</f>
        <v>16463254.913431799</v>
      </c>
      <c r="R149" s="197"/>
      <c r="S149" s="198"/>
      <c r="U149" s="184"/>
      <c r="V149" s="184"/>
      <c r="AE149" s="64" t="b">
        <f t="shared" si="51"/>
        <v>1</v>
      </c>
    </row>
    <row r="150" spans="1:35" ht="15.6" x14ac:dyDescent="0.35">
      <c r="A150" s="199"/>
      <c r="B150" s="199"/>
      <c r="C150" s="199"/>
      <c r="D150" s="199"/>
      <c r="E150" s="199"/>
      <c r="F150" s="199"/>
      <c r="G150" s="200"/>
      <c r="H150" s="184"/>
      <c r="I150" s="201"/>
      <c r="J150" s="201"/>
      <c r="K150" s="202"/>
      <c r="L150" s="203"/>
      <c r="M150" s="203"/>
      <c r="N150" s="203"/>
      <c r="O150" s="203"/>
      <c r="P150" s="204" t="s">
        <v>97</v>
      </c>
      <c r="Q150" s="205">
        <f>SUM(Q148:Q149)</f>
        <v>16463254.913431799</v>
      </c>
      <c r="R150" s="206"/>
      <c r="S150" s="205"/>
      <c r="T150" s="207"/>
      <c r="AE150" s="64" t="b">
        <f t="shared" ref="AE150:AE155" si="52">AD150=L150</f>
        <v>1</v>
      </c>
    </row>
    <row r="151" spans="1:35" ht="14.4" x14ac:dyDescent="0.3">
      <c r="A151" s="199"/>
      <c r="B151" s="199"/>
      <c r="C151" s="199"/>
      <c r="D151" s="199"/>
      <c r="E151" s="199"/>
      <c r="F151" s="199"/>
      <c r="G151" s="200"/>
      <c r="H151" s="184"/>
      <c r="I151" s="201"/>
      <c r="J151" s="201"/>
      <c r="K151" s="202"/>
      <c r="L151" s="208"/>
      <c r="M151" s="203"/>
      <c r="N151" s="203"/>
      <c r="O151" s="203"/>
      <c r="P151" s="203"/>
      <c r="Q151" s="203"/>
      <c r="R151" s="209"/>
      <c r="AE151" s="64" t="b">
        <f t="shared" si="52"/>
        <v>1</v>
      </c>
    </row>
    <row r="152" spans="1:35" ht="15" customHeight="1" x14ac:dyDescent="0.3">
      <c r="A152" s="210" t="s">
        <v>98</v>
      </c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1"/>
      <c r="N152" s="211"/>
      <c r="O152" s="211"/>
      <c r="P152" s="211"/>
      <c r="Q152" s="211"/>
      <c r="R152" s="211"/>
      <c r="S152" s="212"/>
      <c r="AE152" s="64" t="b">
        <f t="shared" si="52"/>
        <v>1</v>
      </c>
    </row>
    <row r="153" spans="1:35" ht="15.6" x14ac:dyDescent="0.3">
      <c r="C153" s="211"/>
      <c r="D153" s="211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05">
        <v>106706468</v>
      </c>
      <c r="R153" s="214">
        <f>Q153-Q148</f>
        <v>106706468</v>
      </c>
      <c r="S153" s="215"/>
      <c r="AE153" s="64" t="b">
        <f t="shared" si="52"/>
        <v>1</v>
      </c>
    </row>
    <row r="154" spans="1:35" ht="15" customHeight="1" x14ac:dyDescent="0.3">
      <c r="A154" s="216" t="s">
        <v>99</v>
      </c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05">
        <v>126791547</v>
      </c>
      <c r="R154" s="217">
        <f>Q154-Q149</f>
        <v>110328292.08656821</v>
      </c>
      <c r="S154" s="218"/>
      <c r="AE154" s="64" t="b">
        <f t="shared" si="52"/>
        <v>1</v>
      </c>
    </row>
    <row r="155" spans="1:35" ht="15" customHeight="1" x14ac:dyDescent="0.3">
      <c r="A155" s="219" t="s">
        <v>100</v>
      </c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05">
        <v>233498015</v>
      </c>
      <c r="R155" s="220">
        <f>Q155-Q150</f>
        <v>217034760.08656821</v>
      </c>
      <c r="S155" s="221"/>
      <c r="AE155" s="64" t="b">
        <f t="shared" si="52"/>
        <v>1</v>
      </c>
    </row>
    <row r="160" spans="1:35" ht="14.4" x14ac:dyDescent="0.3">
      <c r="Z160">
        <f>SUM(Z12:Z146)</f>
        <v>14254.976500000012</v>
      </c>
    </row>
    <row r="161" spans="26:26" ht="14.4" x14ac:dyDescent="0.3">
      <c r="Z161">
        <f>SUM(G12:G31)+SUM(G33:G52)+SUM(G54:G146)</f>
        <v>14358.012499999997</v>
      </c>
    </row>
    <row r="162" spans="26:26" ht="14.4" x14ac:dyDescent="0.3">
      <c r="Z162">
        <f>Z161-Z160</f>
        <v>103.03599999998551</v>
      </c>
    </row>
    <row r="163" spans="26:26" ht="14.4" x14ac:dyDescent="0.3">
      <c r="Z163" s="207">
        <f>Z162*K8</f>
        <v>1766932.4228397512</v>
      </c>
    </row>
  </sheetData>
  <autoFilter ref="A11:AA150" xr:uid="{00000000-0009-0000-0000-000000000000}"/>
  <mergeCells count="7">
    <mergeCell ref="F2:K2"/>
    <mergeCell ref="E3:K3"/>
    <mergeCell ref="Y3:Y4"/>
    <mergeCell ref="B5:C5"/>
    <mergeCell ref="G5:K5"/>
    <mergeCell ref="Y5:Y7"/>
    <mergeCell ref="B6:C6"/>
  </mergeCells>
  <conditionalFormatting sqref="F8:H8 K8:N8 S9 R10:R31 S11:S31 S147:S149 S152:S1048576">
    <cfRule type="containsText" dxfId="9" priority="4" operator="containsText" text="גדול">
      <formula>NOT(ISERROR(SEARCH("גדול",F8)))</formula>
    </cfRule>
    <cfRule type="containsText" dxfId="8" priority="5" operator="containsText" text="קטן מהמינימום הנדרש במכרז">
      <formula>NOT(ISERROR(SEARCH("קטן מהמינימום הנדרש במכרז",F8)))</formula>
    </cfRule>
  </conditionalFormatting>
  <conditionalFormatting sqref="R33:S46">
    <cfRule type="containsText" dxfId="7" priority="2" operator="containsText" text="גדול">
      <formula>NOT(ISERROR(SEARCH("גדול",R33)))</formula>
    </cfRule>
    <cfRule type="containsText" dxfId="6" priority="3" operator="containsText" text="קטן מהמינימום הנדרש במכרז">
      <formula>NOT(ISERROR(SEARCH("קטן מהמינימום הנדרש במכרז",R33)))</formula>
    </cfRule>
  </conditionalFormatting>
  <pageMargins left="0.23611111111111099" right="0.23611111111111099" top="0.15763888888888899" bottom="0.74791666666666701" header="0.511811023622047" footer="0.511811023622047"/>
  <pageSetup paperSize="9" fitToHeight="0" orientation="portrait" horizontalDpi="300" verticalDpi="300"/>
  <rowBreaks count="1" manualBreakCount="1">
    <brk id="4383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280"/>
  <sheetViews>
    <sheetView rightToLeft="1" tabSelected="1" view="pageBreakPreview" topLeftCell="E106" zoomScale="85" zoomScaleNormal="85" zoomScaleSheetLayoutView="85" workbookViewId="0">
      <selection activeCell="P1" sqref="P1"/>
    </sheetView>
  </sheetViews>
  <sheetFormatPr defaultColWidth="9" defaultRowHeight="14.25" customHeight="1" x14ac:dyDescent="0.3"/>
  <cols>
    <col min="1" max="1" width="20.44140625" customWidth="1"/>
    <col min="2" max="2" width="9.5546875" customWidth="1"/>
    <col min="3" max="3" width="7.33203125" customWidth="1"/>
    <col min="4" max="4" width="15.44140625" customWidth="1"/>
    <col min="5" max="5" width="9.5546875" customWidth="1"/>
    <col min="6" max="6" width="10.33203125" customWidth="1"/>
    <col min="7" max="7" width="14" style="222" customWidth="1"/>
    <col min="8" max="8" width="13.109375" style="222" customWidth="1"/>
    <col min="9" max="9" width="12.88671875" style="223" customWidth="1"/>
    <col min="10" max="10" width="14.44140625" style="38" customWidth="1"/>
    <col min="11" max="11" width="20" bestFit="1" customWidth="1"/>
    <col min="12" max="12" width="11.109375" customWidth="1"/>
    <col min="13" max="13" width="13.5546875" customWidth="1"/>
    <col min="14" max="14" width="13.33203125" customWidth="1"/>
    <col min="15" max="15" width="13.88671875" customWidth="1"/>
    <col min="16" max="16" width="16.44140625" customWidth="1"/>
    <col min="17" max="17" width="17.88671875" customWidth="1"/>
    <col min="18" max="18" width="27.33203125" style="1" customWidth="1"/>
    <col min="19" max="19" width="11.44140625" style="224" customWidth="1"/>
    <col min="20" max="20" width="16.44140625" hidden="1" customWidth="1"/>
    <col min="21" max="21" width="10" hidden="1" customWidth="1"/>
    <col min="22" max="25" width="0" hidden="1" customWidth="1"/>
    <col min="26" max="26" width="15.5546875" hidden="1" customWidth="1"/>
    <col min="27" max="27" width="0" hidden="1" customWidth="1"/>
    <col min="28" max="28" width="11" hidden="1" customWidth="1"/>
    <col min="29" max="29" width="22.109375" hidden="1" customWidth="1"/>
    <col min="30" max="30" width="13.44140625" hidden="1" customWidth="1"/>
    <col min="31" max="31" width="26.44140625" hidden="1" customWidth="1"/>
  </cols>
  <sheetData>
    <row r="1" spans="1:38" ht="63.75" customHeight="1" thickBot="1" x14ac:dyDescent="0.4">
      <c r="A1" s="5"/>
      <c r="B1" s="5"/>
      <c r="C1" s="1"/>
      <c r="D1" s="1"/>
      <c r="E1" s="1"/>
      <c r="F1" s="407" t="s">
        <v>1</v>
      </c>
      <c r="G1" s="407"/>
      <c r="H1" s="407"/>
      <c r="I1" s="407"/>
      <c r="J1" s="407"/>
      <c r="K1" s="407"/>
      <c r="AB1" s="10">
        <v>45627</v>
      </c>
      <c r="AD1" s="1"/>
      <c r="AE1" s="5"/>
      <c r="AG1" s="6" t="s">
        <v>2</v>
      </c>
      <c r="AH1" s="7" t="s">
        <v>3</v>
      </c>
      <c r="AI1" s="8" t="s">
        <v>4</v>
      </c>
      <c r="AJ1" s="8" t="s">
        <v>5</v>
      </c>
      <c r="AK1" s="8" t="s">
        <v>6</v>
      </c>
      <c r="AL1" s="9" t="s">
        <v>7</v>
      </c>
    </row>
    <row r="2" spans="1:38" ht="18.600000000000001" thickBot="1" x14ac:dyDescent="0.4">
      <c r="A2" s="18" t="s">
        <v>9</v>
      </c>
      <c r="B2" s="416" t="s">
        <v>10</v>
      </c>
      <c r="C2" s="417"/>
      <c r="E2" s="408" t="s">
        <v>8</v>
      </c>
      <c r="F2" s="408"/>
      <c r="G2" s="408"/>
      <c r="H2" s="408"/>
      <c r="I2" s="408"/>
      <c r="J2" s="408"/>
      <c r="K2" s="408"/>
      <c r="AB2" s="14">
        <f>AB1+45</f>
        <v>45672</v>
      </c>
      <c r="AD2" s="1"/>
      <c r="AE2" s="5"/>
      <c r="AG2" s="11">
        <v>3</v>
      </c>
      <c r="AH2" s="12">
        <f>COUNTIF(F11:F145,"3")</f>
        <v>32</v>
      </c>
      <c r="AI2" s="12">
        <f>COUNTIFS($L$11:$L$145,"לא",$F$11:$F$145,3)</f>
        <v>14</v>
      </c>
      <c r="AJ2" s="12">
        <f>COUNTIFS($L$11:$L$145,"כן",$F$11:$F$145,3)</f>
        <v>18</v>
      </c>
      <c r="AK2" s="13">
        <f t="shared" ref="AK2:AK7" si="0">AJ2/AH2</f>
        <v>0.5625</v>
      </c>
      <c r="AL2" s="414">
        <f>(AJ2+AJ3)/(AH2+AH3)</f>
        <v>0.58695652173913049</v>
      </c>
    </row>
    <row r="3" spans="1:38" ht="21.75" customHeight="1" thickBot="1" x14ac:dyDescent="0.4">
      <c r="A3" s="18" t="s">
        <v>11</v>
      </c>
      <c r="B3" s="418">
        <v>73337</v>
      </c>
      <c r="C3" s="419"/>
      <c r="E3" s="15"/>
      <c r="J3" s="15"/>
      <c r="K3" s="15"/>
      <c r="AD3" s="1"/>
      <c r="AE3" s="5"/>
      <c r="AG3" s="16">
        <v>4</v>
      </c>
      <c r="AH3" s="12">
        <f>COUNTIF(F11:F145,"4")</f>
        <v>60</v>
      </c>
      <c r="AI3" s="12">
        <f>COUNTIFS($L$11:$L$145,"לא",$F$11:$F$145,4)</f>
        <v>24</v>
      </c>
      <c r="AJ3" s="12">
        <f>COUNTIFS($L$11:$L$145,"כן",$F$11:$F$145,4)</f>
        <v>36</v>
      </c>
      <c r="AK3" s="17">
        <f t="shared" si="0"/>
        <v>0.6</v>
      </c>
      <c r="AL3" s="414"/>
    </row>
    <row r="4" spans="1:38" ht="16.2" thickBot="1" x14ac:dyDescent="0.4">
      <c r="A4" s="18" t="s">
        <v>12</v>
      </c>
      <c r="B4" s="420">
        <v>133</v>
      </c>
      <c r="C4" s="421"/>
      <c r="F4" t="s">
        <v>146</v>
      </c>
      <c r="G4" t="s">
        <v>147</v>
      </c>
      <c r="I4" s="226"/>
      <c r="J4" s="405"/>
      <c r="K4" s="405"/>
      <c r="AD4" s="225"/>
      <c r="AE4" s="18"/>
      <c r="AG4" s="20">
        <v>5</v>
      </c>
      <c r="AH4" s="12">
        <f>COUNTIF(F11:F145,"5")</f>
        <v>35</v>
      </c>
      <c r="AI4" s="12">
        <f>COUNTIFS($L$11:$L$145,"לא",$F$11:$F$145,5)</f>
        <v>22</v>
      </c>
      <c r="AJ4" s="12">
        <f>COUNTIFS($L$11:$L$145,"כן",$F$11:$F$145,5)</f>
        <v>13</v>
      </c>
      <c r="AK4" s="17">
        <f t="shared" si="0"/>
        <v>0.37142857142857144</v>
      </c>
      <c r="AL4" s="415">
        <f>(AJ4+AJ5+AJ6)/(AH4)</f>
        <v>0.37142857142857144</v>
      </c>
    </row>
    <row r="5" spans="1:38" ht="16.2" thickBot="1" x14ac:dyDescent="0.4">
      <c r="A5" s="18" t="s">
        <v>13</v>
      </c>
      <c r="B5" s="18"/>
      <c r="D5" s="36">
        <v>67</v>
      </c>
      <c r="F5" s="404" t="s">
        <v>14</v>
      </c>
      <c r="G5" s="404"/>
      <c r="H5" s="404"/>
      <c r="I5" s="403">
        <f>14657*1.18</f>
        <v>17295.259999999998</v>
      </c>
      <c r="AD5" s="227"/>
      <c r="AE5" s="222">
        <f>SUBTOTAL(9,G11:G30,G32:G51,G53:G145)</f>
        <v>14350.799999999996</v>
      </c>
      <c r="AG5" s="16">
        <v>5.5</v>
      </c>
      <c r="AH5" s="12">
        <f>COUNTIF(F11:F145,"5.5")</f>
        <v>1</v>
      </c>
      <c r="AI5" s="12">
        <f>COUNTIFS($L$11:$L$145,"לא",$F$11:$F$145,5.5)</f>
        <v>1</v>
      </c>
      <c r="AJ5" s="12">
        <f>COUNTIFS($L$11:$L$145,"כן",$F$11:$F$145,5.5)</f>
        <v>0</v>
      </c>
      <c r="AK5" s="17">
        <f t="shared" si="0"/>
        <v>0</v>
      </c>
      <c r="AL5" s="415"/>
    </row>
    <row r="6" spans="1:38" ht="16.2" thickBot="1" x14ac:dyDescent="0.4">
      <c r="A6" s="18" t="s">
        <v>16</v>
      </c>
      <c r="B6" s="18"/>
      <c r="D6" s="230">
        <f>D5/B4</f>
        <v>0.50375939849624063</v>
      </c>
      <c r="J6" s="404"/>
      <c r="K6" s="38"/>
      <c r="AD6" s="227"/>
      <c r="AE6" s="18"/>
      <c r="AG6" s="20">
        <v>6</v>
      </c>
      <c r="AH6" s="12">
        <f>COUNTIF(F11:F145,"6")</f>
        <v>5</v>
      </c>
      <c r="AI6" s="12">
        <f>COUNTIFS($L$11:$L$145,"לא",$F$11:$F$145,6)</f>
        <v>5</v>
      </c>
      <c r="AJ6" s="12">
        <f>COUNTIFS($L$11:$L$145,"כן",$F$11:$F$145,6)</f>
        <v>0</v>
      </c>
      <c r="AK6" s="17">
        <f t="shared" si="0"/>
        <v>0</v>
      </c>
      <c r="AL6" s="415"/>
    </row>
    <row r="7" spans="1:38" ht="16.2" thickBot="1" x14ac:dyDescent="0.4">
      <c r="L7" s="24"/>
      <c r="M7" s="228"/>
      <c r="AE7" s="18"/>
      <c r="AG7" s="29" t="s">
        <v>15</v>
      </c>
      <c r="AH7" s="30">
        <f>SUM(AH2:AH6)</f>
        <v>133</v>
      </c>
      <c r="AI7" s="30">
        <f>SUBTOTAL(9,AI2:AI6)</f>
        <v>66</v>
      </c>
      <c r="AJ7" s="31">
        <f>SUBTOTAL(9,AJ2:AJ6)</f>
        <v>67</v>
      </c>
      <c r="AK7" s="32">
        <f t="shared" si="0"/>
        <v>0.50375939849624063</v>
      </c>
      <c r="AL7" s="229"/>
    </row>
    <row r="8" spans="1:38" ht="16.2" hidden="1" thickBot="1" x14ac:dyDescent="0.4">
      <c r="F8" s="35" t="s">
        <v>17</v>
      </c>
      <c r="K8" s="37">
        <v>3.4000000000000002E-2</v>
      </c>
      <c r="L8">
        <f>SUBTOTAL(9,J11:J30,J32:J51,J53:J145)</f>
        <v>186</v>
      </c>
      <c r="N8" s="38"/>
      <c r="O8" s="231"/>
      <c r="P8" s="231"/>
      <c r="Q8" s="231"/>
      <c r="AE8" s="18"/>
    </row>
    <row r="9" spans="1:38" ht="16.2" hidden="1" thickBot="1" x14ac:dyDescent="0.4">
      <c r="A9" s="18"/>
      <c r="B9" s="18"/>
      <c r="D9" s="2"/>
      <c r="G9" s="232">
        <v>1</v>
      </c>
      <c r="H9" s="233">
        <v>0</v>
      </c>
      <c r="I9" s="234">
        <v>0.4</v>
      </c>
      <c r="J9" s="42">
        <v>2</v>
      </c>
      <c r="L9">
        <f>SUBTOTAL(3,L11:L30,L32:L51,L53:L145)</f>
        <v>133</v>
      </c>
      <c r="M9" s="38"/>
      <c r="N9" s="38"/>
      <c r="O9" s="38"/>
      <c r="P9" s="38"/>
      <c r="Q9" s="38"/>
      <c r="R9" s="43"/>
      <c r="T9" s="40">
        <v>0.3</v>
      </c>
      <c r="U9" s="40">
        <v>0.2</v>
      </c>
      <c r="V9" s="40">
        <v>0.1</v>
      </c>
      <c r="W9" s="40">
        <v>0</v>
      </c>
      <c r="AE9" s="18"/>
    </row>
    <row r="10" spans="1:38" s="51" customFormat="1" ht="125.4" thickBot="1" x14ac:dyDescent="0.35">
      <c r="A10" s="45" t="s">
        <v>18</v>
      </c>
      <c r="B10" s="45" t="s">
        <v>19</v>
      </c>
      <c r="C10" s="46" t="s">
        <v>20</v>
      </c>
      <c r="D10" s="45" t="s">
        <v>21</v>
      </c>
      <c r="E10" s="46" t="s">
        <v>22</v>
      </c>
      <c r="F10" s="46" t="s">
        <v>23</v>
      </c>
      <c r="G10" s="45" t="s">
        <v>24</v>
      </c>
      <c r="H10" s="45" t="s">
        <v>25</v>
      </c>
      <c r="I10" s="235" t="s">
        <v>26</v>
      </c>
      <c r="J10" s="47" t="s">
        <v>27</v>
      </c>
      <c r="K10" s="48" t="s">
        <v>28</v>
      </c>
      <c r="L10" s="48" t="s">
        <v>29</v>
      </c>
      <c r="M10" s="48" t="s">
        <v>30</v>
      </c>
      <c r="N10" s="48" t="s">
        <v>31</v>
      </c>
      <c r="O10" s="48" t="s">
        <v>32</v>
      </c>
      <c r="P10" s="48" t="s">
        <v>33</v>
      </c>
      <c r="Q10" s="48" t="s">
        <v>34</v>
      </c>
      <c r="R10" s="49" t="s">
        <v>35</v>
      </c>
      <c r="S10" s="236" t="s">
        <v>36</v>
      </c>
      <c r="T10" s="237" t="s">
        <v>37</v>
      </c>
      <c r="U10" s="238" t="s">
        <v>38</v>
      </c>
      <c r="V10" s="238" t="s">
        <v>39</v>
      </c>
      <c r="W10" s="238" t="s">
        <v>40</v>
      </c>
      <c r="X10" s="239" t="s">
        <v>41</v>
      </c>
      <c r="Y10" s="240" t="s">
        <v>42</v>
      </c>
      <c r="Z10" s="46" t="s">
        <v>43</v>
      </c>
      <c r="AA10" s="241" t="s">
        <v>44</v>
      </c>
      <c r="AC10" s="242" t="s">
        <v>20</v>
      </c>
      <c r="AD10" s="46" t="s">
        <v>20</v>
      </c>
      <c r="AE10" s="45" t="s">
        <v>18</v>
      </c>
    </row>
    <row r="11" spans="1:38" s="222" customFormat="1" ht="14.25" customHeight="1" x14ac:dyDescent="0.3">
      <c r="A11" s="243" t="s">
        <v>45</v>
      </c>
      <c r="B11" s="244">
        <v>130</v>
      </c>
      <c r="C11" s="244">
        <v>1</v>
      </c>
      <c r="D11" s="245" t="s">
        <v>46</v>
      </c>
      <c r="E11" s="245">
        <v>0</v>
      </c>
      <c r="F11" s="245">
        <v>4</v>
      </c>
      <c r="G11" s="245">
        <v>104.04</v>
      </c>
      <c r="H11" s="245">
        <v>73.45</v>
      </c>
      <c r="I11" s="246">
        <v>5.87</v>
      </c>
      <c r="J11" s="244">
        <v>2</v>
      </c>
      <c r="K11" s="247"/>
      <c r="L11" s="248" t="s">
        <v>47</v>
      </c>
      <c r="M11" s="247"/>
      <c r="N11" s="247"/>
      <c r="O11" s="247"/>
      <c r="P11" s="247"/>
      <c r="Q11" s="247"/>
      <c r="R11" s="58" t="s">
        <v>48</v>
      </c>
      <c r="S11" s="249">
        <v>34</v>
      </c>
      <c r="T11" s="250">
        <f t="shared" ref="T11:T30" si="1">IF((H11)&gt;30,30,(H11))</f>
        <v>30</v>
      </c>
      <c r="U11" s="250">
        <f t="shared" ref="U11:U30" si="2">IF((H11-T11)&gt;30,30,(H11-T11))</f>
        <v>30</v>
      </c>
      <c r="V11" s="251">
        <f t="shared" ref="V11:V30" si="3">IF((H11)&gt;120,60,(H11-T11-U11))</f>
        <v>13.450000000000003</v>
      </c>
      <c r="W11" s="251">
        <f t="shared" ref="W11:W30" si="4">IF((H11)&gt;120,(H11-120),0)</f>
        <v>0</v>
      </c>
      <c r="X11" s="252">
        <f t="shared" ref="X11:X30" si="5">K11*0.2</f>
        <v>0</v>
      </c>
      <c r="Y11" s="253">
        <f t="shared" ref="Y11:Y30" si="6">IF(X11&gt;300000,300000,X11)</f>
        <v>0</v>
      </c>
      <c r="Z11" s="254">
        <f t="array" ref="Z11">_xlfn.IFS(AND(F11=3,G11&gt;90),(90*1)+((G11-90)*0.85),AND(F11=3.5,G11&gt;100),(100*1)+((G11-100)*0.85),AND(F11=4,G11&gt;110),(110*1)+((G11-110)*0.85),AND(F11=4.5,G11&gt;120),(120*1)+((G11-120)*0.85),AND(F11=5,G11&gt;125),(125*1)+((G11-125)*0.85),AND(F11=5.5,G11&gt;135),(135*1)+((G11-135)*0.85),AND(F11=6,G11&gt;145),(145*1)+((G11-145)*0.85),TRUE(),G11)</f>
        <v>104.04</v>
      </c>
      <c r="AA11" s="255">
        <v>0</v>
      </c>
      <c r="AC11" s="256" t="s">
        <v>101</v>
      </c>
      <c r="AD11" s="244">
        <v>1</v>
      </c>
      <c r="AE11" s="243" t="s">
        <v>45</v>
      </c>
    </row>
    <row r="12" spans="1:38" s="266" customFormat="1" ht="13.5" customHeight="1" x14ac:dyDescent="0.3">
      <c r="A12" s="257" t="s">
        <v>45</v>
      </c>
      <c r="B12" s="258">
        <v>130</v>
      </c>
      <c r="C12" s="258">
        <v>2</v>
      </c>
      <c r="D12" s="259" t="s">
        <v>49</v>
      </c>
      <c r="E12" s="259">
        <v>0</v>
      </c>
      <c r="F12" s="259">
        <v>5</v>
      </c>
      <c r="G12" s="259">
        <v>119.71</v>
      </c>
      <c r="H12" s="259">
        <v>90.53</v>
      </c>
      <c r="I12" s="260">
        <v>11.05</v>
      </c>
      <c r="J12" s="258">
        <v>2</v>
      </c>
      <c r="K12" s="261"/>
      <c r="L12" s="259" t="s">
        <v>47</v>
      </c>
      <c r="M12" s="261"/>
      <c r="N12" s="261"/>
      <c r="O12" s="261"/>
      <c r="P12" s="261"/>
      <c r="Q12" s="261"/>
      <c r="R12" s="70" t="s">
        <v>50</v>
      </c>
      <c r="S12" s="262">
        <v>8</v>
      </c>
      <c r="T12" s="263">
        <f t="shared" si="1"/>
        <v>30</v>
      </c>
      <c r="U12" s="263">
        <f t="shared" si="2"/>
        <v>30</v>
      </c>
      <c r="V12" s="264">
        <f t="shared" si="3"/>
        <v>30.53</v>
      </c>
      <c r="W12" s="264">
        <f t="shared" si="4"/>
        <v>0</v>
      </c>
      <c r="X12" s="261">
        <f t="shared" si="5"/>
        <v>0</v>
      </c>
      <c r="Y12" s="265">
        <f t="shared" si="6"/>
        <v>0</v>
      </c>
      <c r="Z12" s="254">
        <f t="array" ref="Z12">_xlfn.IFS(AND(F12=3,G12&gt;90),(90*1)+((G12-90)*0.85),AND(F12=3.5,G12&gt;100),(100*1)+((G12-100)*0.85),AND(F12=4,G12&gt;110),(110*1)+((G12-110)*0.85),AND(F12=4.5,G12&gt;120),(120*1)+((G12-120)*0.85),AND(F12=5,G12&gt;125),(125*1)+((G12-125)*0.85),AND(F12=5.5,G12&gt;135),(135*1)+((G12-135)*0.85),AND(F12=6,G12&gt;145),(145*1)+((G12-145)*0.85),TRUE(),G12)</f>
        <v>119.71</v>
      </c>
      <c r="AA12" s="255">
        <v>0</v>
      </c>
      <c r="AC12" s="256" t="s">
        <v>102</v>
      </c>
      <c r="AD12" s="258">
        <v>2</v>
      </c>
      <c r="AE12" s="257" t="s">
        <v>45</v>
      </c>
    </row>
    <row r="13" spans="1:38" s="222" customFormat="1" ht="14.25" customHeight="1" x14ac:dyDescent="0.3">
      <c r="A13" s="257" t="s">
        <v>45</v>
      </c>
      <c r="B13" s="258">
        <v>130</v>
      </c>
      <c r="C13" s="258">
        <v>3</v>
      </c>
      <c r="D13" s="259" t="s">
        <v>51</v>
      </c>
      <c r="E13" s="259">
        <v>1</v>
      </c>
      <c r="F13" s="259">
        <v>3</v>
      </c>
      <c r="G13" s="259">
        <v>79.989999999999995</v>
      </c>
      <c r="H13" s="259">
        <v>30.13</v>
      </c>
      <c r="I13" s="260">
        <v>5.65</v>
      </c>
      <c r="J13" s="258">
        <v>1</v>
      </c>
      <c r="K13" s="261"/>
      <c r="L13" s="259" t="s">
        <v>47</v>
      </c>
      <c r="M13" s="261"/>
      <c r="N13" s="261"/>
      <c r="O13" s="261"/>
      <c r="P13" s="261"/>
      <c r="Q13" s="261"/>
      <c r="R13" s="78" t="s">
        <v>52</v>
      </c>
      <c r="S13" s="262">
        <v>28</v>
      </c>
      <c r="T13" s="263">
        <f t="shared" si="1"/>
        <v>30</v>
      </c>
      <c r="U13" s="263">
        <f t="shared" si="2"/>
        <v>0.12999999999999901</v>
      </c>
      <c r="V13" s="263">
        <f t="shared" si="3"/>
        <v>0</v>
      </c>
      <c r="W13" s="263">
        <f t="shared" si="4"/>
        <v>0</v>
      </c>
      <c r="X13" s="261">
        <f t="shared" si="5"/>
        <v>0</v>
      </c>
      <c r="Y13" s="265">
        <f t="shared" si="6"/>
        <v>0</v>
      </c>
      <c r="Z13" s="254">
        <f t="array" ref="Z13">_xlfn.IFS(AND(F13=3,G13&gt;90),(90*1)+((G13-90)*0.85),AND(F13=3.5,G13&gt;100),(100*1)+((G13-100)*0.85),AND(F13=4,G13&gt;110),(110*1)+((G13-110)*0.85),AND(F13=4.5,G13&gt;120),(120*1)+((G13-120)*0.85),AND(F13=5,G13&gt;125),(125*1)+((G13-125)*0.85),AND(F13=5.5,G13&gt;135),(135*1)+((G13-135)*0.85),AND(F13=6,G13&gt;145),(145*1)+((G13-145)*0.85),TRUE(),G13)</f>
        <v>79.989999999999995</v>
      </c>
      <c r="AA13" s="255">
        <v>0</v>
      </c>
      <c r="AC13" s="256" t="s">
        <v>103</v>
      </c>
      <c r="AD13" s="258">
        <v>3</v>
      </c>
      <c r="AE13" s="257" t="s">
        <v>45</v>
      </c>
    </row>
    <row r="14" spans="1:38" s="222" customFormat="1" ht="14.25" customHeight="1" x14ac:dyDescent="0.3">
      <c r="A14" s="257" t="s">
        <v>45</v>
      </c>
      <c r="B14" s="258">
        <v>130</v>
      </c>
      <c r="C14" s="258">
        <v>4</v>
      </c>
      <c r="D14" s="267" t="s">
        <v>53</v>
      </c>
      <c r="E14" s="267">
        <v>1</v>
      </c>
      <c r="F14" s="259">
        <v>4</v>
      </c>
      <c r="G14" s="268">
        <v>103.33</v>
      </c>
      <c r="H14" s="259">
        <v>14.98</v>
      </c>
      <c r="I14" s="269">
        <v>7.93</v>
      </c>
      <c r="J14" s="258">
        <v>1</v>
      </c>
      <c r="K14" s="261">
        <f t="shared" ref="K14:K20" si="7">(SUMPRODUCT(H14:J14,$H$9:$J$9)+$G$9*Z14+SUMPRODUCT(T14:W14,$T$9:$W$9))*$I$5</f>
        <v>1954295.1989599997</v>
      </c>
      <c r="L14" s="267" t="s">
        <v>54</v>
      </c>
      <c r="M14" s="261">
        <f t="shared" ref="M14:M29" si="8">K14</f>
        <v>1954295.1989599997</v>
      </c>
      <c r="N14" s="261">
        <f t="shared" ref="N14:N29" si="9">M14-Y14</f>
        <v>1654295.1989599997</v>
      </c>
      <c r="O14" s="261">
        <f t="shared" ref="O14:O29" si="10">M14*(1+$K$8)</f>
        <v>2020741.2357246398</v>
      </c>
      <c r="P14" s="261">
        <f t="shared" ref="P14:P29" si="11">O14-N14</f>
        <v>366446.03676464013</v>
      </c>
      <c r="Q14" s="261">
        <f t="shared" ref="Q14:Q29" si="12">IF(P14&lt;500000,N14,P14-500000+N14)</f>
        <v>1654295.1989599997</v>
      </c>
      <c r="R14" s="78" t="s">
        <v>55</v>
      </c>
      <c r="S14" s="262">
        <v>10</v>
      </c>
      <c r="T14" s="263">
        <f t="shared" si="1"/>
        <v>14.98</v>
      </c>
      <c r="U14" s="263">
        <f t="shared" si="2"/>
        <v>0</v>
      </c>
      <c r="V14" s="263">
        <f t="shared" si="3"/>
        <v>0</v>
      </c>
      <c r="W14" s="263">
        <f t="shared" si="4"/>
        <v>0</v>
      </c>
      <c r="X14" s="261">
        <f t="shared" si="5"/>
        <v>390859.03979199997</v>
      </c>
      <c r="Y14" s="265">
        <f t="shared" si="6"/>
        <v>300000</v>
      </c>
      <c r="Z14" s="254">
        <f t="array" ref="Z14">_xlfn.IFS(AND(F14=3,G14&gt;90),(90*1)+((G14-90)*0.85),AND(F14=3.5,G14&gt;100),(100*1)+((G14-100)*0.85),AND(F14=4,G14&gt;110),(110*1)+((G14-110)*0.85),AND(F14=4.5,G14&gt;120),(120*1)+((G14-120)*0.85),AND(F14=5,G14&gt;125),(125*1)+((G14-125)*0.85),AND(F14=5.5,G14&gt;135),(135*1)+((G14-135)*0.85),AND(F14=6,G14&gt;145),(145*1)+((G14-145)*0.85),TRUE(),G14)</f>
        <v>103.33</v>
      </c>
      <c r="AA14" s="255">
        <v>0</v>
      </c>
      <c r="AC14" s="256" t="s">
        <v>101</v>
      </c>
      <c r="AD14" s="258">
        <v>4</v>
      </c>
      <c r="AE14" s="257" t="s">
        <v>45</v>
      </c>
    </row>
    <row r="15" spans="1:38" s="222" customFormat="1" ht="14.25" customHeight="1" x14ac:dyDescent="0.3">
      <c r="A15" s="257" t="s">
        <v>45</v>
      </c>
      <c r="B15" s="258">
        <v>130</v>
      </c>
      <c r="C15" s="258">
        <v>5</v>
      </c>
      <c r="D15" s="259" t="s">
        <v>105</v>
      </c>
      <c r="E15" s="259">
        <v>1</v>
      </c>
      <c r="F15" s="259">
        <v>5</v>
      </c>
      <c r="G15" s="259">
        <v>119.71</v>
      </c>
      <c r="H15" s="259">
        <v>14.96</v>
      </c>
      <c r="I15" s="260">
        <v>7.09</v>
      </c>
      <c r="J15" s="258">
        <v>2</v>
      </c>
      <c r="K15" s="261">
        <f t="shared" si="7"/>
        <v>2266267.0988399996</v>
      </c>
      <c r="L15" s="267" t="s">
        <v>54</v>
      </c>
      <c r="M15" s="261">
        <f t="shared" si="8"/>
        <v>2266267.0988399996</v>
      </c>
      <c r="N15" s="261">
        <f t="shared" si="9"/>
        <v>1966267.0988399996</v>
      </c>
      <c r="O15" s="261">
        <f t="shared" si="10"/>
        <v>2343320.1802005596</v>
      </c>
      <c r="P15" s="261">
        <f t="shared" si="11"/>
        <v>377053.08136055991</v>
      </c>
      <c r="Q15" s="261">
        <f t="shared" si="12"/>
        <v>1966267.0988399996</v>
      </c>
      <c r="R15" s="78" t="s">
        <v>52</v>
      </c>
      <c r="S15" s="262">
        <v>27</v>
      </c>
      <c r="T15" s="263">
        <f t="shared" si="1"/>
        <v>14.96</v>
      </c>
      <c r="U15" s="263">
        <f t="shared" si="2"/>
        <v>0</v>
      </c>
      <c r="V15" s="263">
        <f t="shared" si="3"/>
        <v>0</v>
      </c>
      <c r="W15" s="263">
        <f t="shared" si="4"/>
        <v>0</v>
      </c>
      <c r="X15" s="261">
        <f t="shared" si="5"/>
        <v>453253.41976799996</v>
      </c>
      <c r="Y15" s="265">
        <f t="shared" si="6"/>
        <v>300000</v>
      </c>
      <c r="Z15" s="254">
        <f t="array" ref="Z15">_xlfn.IFS(AND(F15=3,G15&gt;90),(90*1)+((G15-90)*0.85),AND(F15=3.5,G15&gt;100),(100*1)+((G15-100)*0.85),AND(F15=4,G15&gt;110),(110*1)+((G15-110)*0.85),AND(F15=4.5,G15&gt;120),(120*1)+((G15-120)*0.85),AND(F15=5,G15&gt;125),(125*1)+((G15-125)*0.85),AND(F15=5.5,G15&gt;135),(135*1)+((G15-135)*0.85),AND(F15=6,G15&gt;145),(145*1)+((G15-145)*0.85),TRUE(),G15)</f>
        <v>119.71</v>
      </c>
      <c r="AA15" s="255">
        <v>0</v>
      </c>
      <c r="AC15" s="256" t="s">
        <v>102</v>
      </c>
      <c r="AD15" s="258">
        <v>5</v>
      </c>
      <c r="AE15" s="257" t="s">
        <v>45</v>
      </c>
    </row>
    <row r="16" spans="1:38" s="222" customFormat="1" ht="15.6" x14ac:dyDescent="0.3">
      <c r="A16" s="257" t="s">
        <v>45</v>
      </c>
      <c r="B16" s="258">
        <v>130</v>
      </c>
      <c r="C16" s="258">
        <v>6</v>
      </c>
      <c r="D16" s="267" t="s">
        <v>57</v>
      </c>
      <c r="E16" s="267">
        <v>2</v>
      </c>
      <c r="F16" s="259">
        <v>3</v>
      </c>
      <c r="G16" s="268">
        <v>79.989999999999995</v>
      </c>
      <c r="H16" s="259">
        <v>11.98</v>
      </c>
      <c r="I16" s="269">
        <v>5.65</v>
      </c>
      <c r="J16" s="258">
        <v>1</v>
      </c>
      <c r="K16" s="261">
        <f t="shared" si="7"/>
        <v>1519284.8194399998</v>
      </c>
      <c r="L16" s="267" t="s">
        <v>54</v>
      </c>
      <c r="M16" s="261">
        <f t="shared" si="8"/>
        <v>1519284.8194399998</v>
      </c>
      <c r="N16" s="261">
        <f t="shared" si="9"/>
        <v>1219284.8194399998</v>
      </c>
      <c r="O16" s="261">
        <f t="shared" si="10"/>
        <v>1570940.5033009597</v>
      </c>
      <c r="P16" s="261">
        <f t="shared" si="11"/>
        <v>351655.68386095995</v>
      </c>
      <c r="Q16" s="261">
        <f t="shared" si="12"/>
        <v>1219284.8194399998</v>
      </c>
      <c r="R16" s="78" t="s">
        <v>55</v>
      </c>
      <c r="S16" s="262">
        <v>12</v>
      </c>
      <c r="T16" s="263">
        <f t="shared" si="1"/>
        <v>11.98</v>
      </c>
      <c r="U16" s="263">
        <f t="shared" si="2"/>
        <v>0</v>
      </c>
      <c r="V16" s="263">
        <f t="shared" si="3"/>
        <v>0</v>
      </c>
      <c r="W16" s="263">
        <f t="shared" si="4"/>
        <v>0</v>
      </c>
      <c r="X16" s="261">
        <f t="shared" si="5"/>
        <v>303856.96388799994</v>
      </c>
      <c r="Y16" s="265">
        <f t="shared" si="6"/>
        <v>300000</v>
      </c>
      <c r="Z16" s="254">
        <f t="array" ref="Z16">_xlfn.IFS(AND(F16=3,G16&gt;90),(90*1)+((G16-90)*0.85),AND(F16=3.5,G16&gt;100),(100*1)+((G16-100)*0.85),AND(F16=4,G16&gt;110),(110*1)+((G16-110)*0.85),AND(F16=4.5,G16&gt;120),(120*1)+((G16-120)*0.85),AND(F16=5,G16&gt;125),(125*1)+((G16-125)*0.85),AND(F16=5.5,G16&gt;135),(135*1)+((G16-135)*0.85),AND(F16=6,G16&gt;145),(145*1)+((G16-145)*0.85),TRUE(),G16)</f>
        <v>79.989999999999995</v>
      </c>
      <c r="AA16" s="255">
        <v>0</v>
      </c>
      <c r="AC16" s="256" t="s">
        <v>103</v>
      </c>
      <c r="AD16" s="258">
        <v>6</v>
      </c>
      <c r="AE16" s="257" t="s">
        <v>45</v>
      </c>
    </row>
    <row r="17" spans="1:31" s="222" customFormat="1" ht="14.25" customHeight="1" x14ac:dyDescent="0.3">
      <c r="A17" s="257" t="s">
        <v>45</v>
      </c>
      <c r="B17" s="258">
        <v>130</v>
      </c>
      <c r="C17" s="258">
        <v>7</v>
      </c>
      <c r="D17" s="267" t="s">
        <v>53</v>
      </c>
      <c r="E17" s="267">
        <v>2</v>
      </c>
      <c r="F17" s="259">
        <v>4</v>
      </c>
      <c r="G17" s="268">
        <v>103.33</v>
      </c>
      <c r="H17" s="259">
        <v>14.98</v>
      </c>
      <c r="I17" s="269">
        <v>7.95</v>
      </c>
      <c r="J17" s="258">
        <v>2</v>
      </c>
      <c r="K17" s="261">
        <f t="shared" si="7"/>
        <v>1989024.0810399996</v>
      </c>
      <c r="L17" s="267" t="s">
        <v>54</v>
      </c>
      <c r="M17" s="261">
        <f t="shared" si="8"/>
        <v>1989024.0810399996</v>
      </c>
      <c r="N17" s="261">
        <f t="shared" si="9"/>
        <v>1689024.0810399996</v>
      </c>
      <c r="O17" s="261">
        <f t="shared" si="10"/>
        <v>2056650.8997953597</v>
      </c>
      <c r="P17" s="261">
        <f t="shared" si="11"/>
        <v>367626.81875536009</v>
      </c>
      <c r="Q17" s="261">
        <f t="shared" si="12"/>
        <v>1689024.0810399996</v>
      </c>
      <c r="R17" s="78" t="s">
        <v>55</v>
      </c>
      <c r="S17" s="262">
        <v>16</v>
      </c>
      <c r="T17" s="263">
        <f t="shared" si="1"/>
        <v>14.98</v>
      </c>
      <c r="U17" s="263">
        <f t="shared" si="2"/>
        <v>0</v>
      </c>
      <c r="V17" s="263">
        <f t="shared" si="3"/>
        <v>0</v>
      </c>
      <c r="W17" s="263">
        <f t="shared" si="4"/>
        <v>0</v>
      </c>
      <c r="X17" s="261">
        <f t="shared" si="5"/>
        <v>397804.81620799995</v>
      </c>
      <c r="Y17" s="265">
        <f t="shared" si="6"/>
        <v>300000</v>
      </c>
      <c r="Z17" s="254">
        <f t="array" ref="Z17">_xlfn.IFS(AND(F17=3,G17&gt;90),(90*1)+((G17-90)*0.85),AND(F17=3.5,G17&gt;100),(100*1)+((G17-100)*0.85),AND(F17=4,G17&gt;110),(110*1)+((G17-110)*0.85),AND(F17=4.5,G17&gt;120),(120*1)+((G17-120)*0.85),AND(F17=5,G17&gt;125),(125*1)+((G17-125)*0.85),AND(F17=5.5,G17&gt;135),(135*1)+((G17-135)*0.85),AND(F17=6,G17&gt;145),(145*1)+((G17-145)*0.85),TRUE(),G17)</f>
        <v>103.33</v>
      </c>
      <c r="AA17" s="255">
        <v>0</v>
      </c>
      <c r="AC17" s="256" t="s">
        <v>101</v>
      </c>
      <c r="AD17" s="258">
        <v>7</v>
      </c>
      <c r="AE17" s="257" t="s">
        <v>45</v>
      </c>
    </row>
    <row r="18" spans="1:31" s="222" customFormat="1" ht="14.25" customHeight="1" x14ac:dyDescent="0.3">
      <c r="A18" s="257" t="s">
        <v>45</v>
      </c>
      <c r="B18" s="258">
        <v>130</v>
      </c>
      <c r="C18" s="258">
        <v>8</v>
      </c>
      <c r="D18" s="259" t="s">
        <v>105</v>
      </c>
      <c r="E18" s="259">
        <v>2</v>
      </c>
      <c r="F18" s="259">
        <v>5</v>
      </c>
      <c r="G18" s="259">
        <v>119.71</v>
      </c>
      <c r="H18" s="259">
        <v>14.96</v>
      </c>
      <c r="I18" s="260">
        <v>7.84</v>
      </c>
      <c r="J18" s="258">
        <v>2</v>
      </c>
      <c r="K18" s="261">
        <f t="shared" si="7"/>
        <v>2271455.6768399999</v>
      </c>
      <c r="L18" s="267" t="s">
        <v>54</v>
      </c>
      <c r="M18" s="261">
        <f t="shared" si="8"/>
        <v>2271455.6768399999</v>
      </c>
      <c r="N18" s="261">
        <f t="shared" si="9"/>
        <v>1971455.6768399999</v>
      </c>
      <c r="O18" s="261">
        <f t="shared" si="10"/>
        <v>2348685.1698525599</v>
      </c>
      <c r="P18" s="261">
        <f t="shared" si="11"/>
        <v>377229.49301256007</v>
      </c>
      <c r="Q18" s="261">
        <f t="shared" si="12"/>
        <v>1971455.6768399999</v>
      </c>
      <c r="R18" s="78" t="s">
        <v>52</v>
      </c>
      <c r="S18" s="262">
        <v>25</v>
      </c>
      <c r="T18" s="263">
        <f t="shared" si="1"/>
        <v>14.96</v>
      </c>
      <c r="U18" s="263">
        <f t="shared" si="2"/>
        <v>0</v>
      </c>
      <c r="V18" s="263">
        <f t="shared" si="3"/>
        <v>0</v>
      </c>
      <c r="W18" s="263">
        <f t="shared" si="4"/>
        <v>0</v>
      </c>
      <c r="X18" s="261">
        <f t="shared" si="5"/>
        <v>454291.13536800002</v>
      </c>
      <c r="Y18" s="265">
        <f t="shared" si="6"/>
        <v>300000</v>
      </c>
      <c r="Z18" s="254">
        <f t="array" ref="Z18">_xlfn.IFS(AND(F18=3,G18&gt;90),(90*1)+((G18-90)*0.85),AND(F18=3.5,G18&gt;100),(100*1)+((G18-100)*0.85),AND(F18=4,G18&gt;110),(110*1)+((G18-110)*0.85),AND(F18=4.5,G18&gt;120),(120*1)+((G18-120)*0.85),AND(F18=5,G18&gt;125),(125*1)+((G18-125)*0.85),AND(F18=5.5,G18&gt;135),(135*1)+((G18-135)*0.85),AND(F18=6,G18&gt;145),(145*1)+((G18-145)*0.85),TRUE(),G18)</f>
        <v>119.71</v>
      </c>
      <c r="AA18" s="255">
        <v>0</v>
      </c>
      <c r="AC18" s="256" t="s">
        <v>102</v>
      </c>
      <c r="AD18" s="258">
        <v>8</v>
      </c>
      <c r="AE18" s="257" t="s">
        <v>45</v>
      </c>
    </row>
    <row r="19" spans="1:31" s="222" customFormat="1" ht="15.75" customHeight="1" x14ac:dyDescent="0.3">
      <c r="A19" s="257" t="s">
        <v>45</v>
      </c>
      <c r="B19" s="258">
        <v>130</v>
      </c>
      <c r="C19" s="258">
        <v>9</v>
      </c>
      <c r="D19" s="267" t="s">
        <v>57</v>
      </c>
      <c r="E19" s="267">
        <v>3</v>
      </c>
      <c r="F19" s="259">
        <v>3</v>
      </c>
      <c r="G19" s="268">
        <v>79.989999999999995</v>
      </c>
      <c r="H19" s="259">
        <v>11.98</v>
      </c>
      <c r="I19" s="269">
        <v>6.52</v>
      </c>
      <c r="J19" s="258">
        <v>2</v>
      </c>
      <c r="K19" s="261">
        <f t="shared" si="7"/>
        <v>1559894.0899199997</v>
      </c>
      <c r="L19" s="267" t="s">
        <v>54</v>
      </c>
      <c r="M19" s="261">
        <f t="shared" si="8"/>
        <v>1559894.0899199997</v>
      </c>
      <c r="N19" s="261">
        <f t="shared" si="9"/>
        <v>1259894.0899199997</v>
      </c>
      <c r="O19" s="261">
        <f t="shared" si="10"/>
        <v>1612930.4889772797</v>
      </c>
      <c r="P19" s="261">
        <f t="shared" si="11"/>
        <v>353036.39905728004</v>
      </c>
      <c r="Q19" s="261">
        <f t="shared" si="12"/>
        <v>1259894.0899199997</v>
      </c>
      <c r="R19" s="78" t="s">
        <v>55</v>
      </c>
      <c r="S19" s="262">
        <v>14</v>
      </c>
      <c r="T19" s="263">
        <f t="shared" si="1"/>
        <v>11.98</v>
      </c>
      <c r="U19" s="263">
        <f t="shared" si="2"/>
        <v>0</v>
      </c>
      <c r="V19" s="263">
        <f t="shared" si="3"/>
        <v>0</v>
      </c>
      <c r="W19" s="263">
        <f t="shared" si="4"/>
        <v>0</v>
      </c>
      <c r="X19" s="261">
        <f t="shared" si="5"/>
        <v>311978.81798399996</v>
      </c>
      <c r="Y19" s="265">
        <f t="shared" si="6"/>
        <v>300000</v>
      </c>
      <c r="Z19" s="254">
        <f t="array" ref="Z19">_xlfn.IFS(AND(F19=3,G19&gt;90),(90*1)+((G19-90)*0.85),AND(F19=3.5,G19&gt;100),(100*1)+((G19-100)*0.85),AND(F19=4,G19&gt;110),(110*1)+((G19-110)*0.85),AND(F19=4.5,G19&gt;120),(120*1)+((G19-120)*0.85),AND(F19=5,G19&gt;125),(125*1)+((G19-125)*0.85),AND(F19=5.5,G19&gt;135),(135*1)+((G19-135)*0.85),AND(F19=6,G19&gt;145),(145*1)+((G19-145)*0.85),TRUE(),G19)</f>
        <v>79.989999999999995</v>
      </c>
      <c r="AA19" s="255">
        <v>0</v>
      </c>
      <c r="AC19" s="256" t="s">
        <v>103</v>
      </c>
      <c r="AD19" s="258">
        <v>9</v>
      </c>
      <c r="AE19" s="257" t="s">
        <v>45</v>
      </c>
    </row>
    <row r="20" spans="1:31" s="222" customFormat="1" ht="14.25" customHeight="1" x14ac:dyDescent="0.3">
      <c r="A20" s="257" t="s">
        <v>45</v>
      </c>
      <c r="B20" s="258">
        <v>130</v>
      </c>
      <c r="C20" s="258">
        <v>10</v>
      </c>
      <c r="D20" s="267" t="s">
        <v>53</v>
      </c>
      <c r="E20" s="267">
        <v>3</v>
      </c>
      <c r="F20" s="259">
        <v>4</v>
      </c>
      <c r="G20" s="268">
        <v>103.33</v>
      </c>
      <c r="H20" s="259">
        <v>14.98</v>
      </c>
      <c r="I20" s="269">
        <v>7.2</v>
      </c>
      <c r="J20" s="258">
        <v>1</v>
      </c>
      <c r="K20" s="261">
        <f t="shared" si="7"/>
        <v>1949244.9830399996</v>
      </c>
      <c r="L20" s="267" t="s">
        <v>54</v>
      </c>
      <c r="M20" s="261">
        <f t="shared" si="8"/>
        <v>1949244.9830399996</v>
      </c>
      <c r="N20" s="261">
        <f t="shared" si="9"/>
        <v>1649244.9830399996</v>
      </c>
      <c r="O20" s="261">
        <f t="shared" si="10"/>
        <v>2015519.3124633597</v>
      </c>
      <c r="P20" s="261">
        <f t="shared" si="11"/>
        <v>366274.32942336006</v>
      </c>
      <c r="Q20" s="261">
        <f t="shared" si="12"/>
        <v>1649244.9830399996</v>
      </c>
      <c r="R20" s="78" t="s">
        <v>55</v>
      </c>
      <c r="S20" s="262">
        <v>15</v>
      </c>
      <c r="T20" s="263">
        <f t="shared" si="1"/>
        <v>14.98</v>
      </c>
      <c r="U20" s="263">
        <f t="shared" si="2"/>
        <v>0</v>
      </c>
      <c r="V20" s="263">
        <f t="shared" si="3"/>
        <v>0</v>
      </c>
      <c r="W20" s="263">
        <f t="shared" si="4"/>
        <v>0</v>
      </c>
      <c r="X20" s="261">
        <f t="shared" si="5"/>
        <v>389848.99660799996</v>
      </c>
      <c r="Y20" s="265">
        <f t="shared" si="6"/>
        <v>300000</v>
      </c>
      <c r="Z20" s="254">
        <f t="array" ref="Z20">_xlfn.IFS(AND(F20=3,G20&gt;90),(90*1)+((G20-90)*0.85),AND(F20=3.5,G20&gt;100),(100*1)+((G20-100)*0.85),AND(F20=4,G20&gt;110),(110*1)+((G20-110)*0.85),AND(F20=4.5,G20&gt;120),(120*1)+((G20-120)*0.85),AND(F20=5,G20&gt;125),(125*1)+((G20-125)*0.85),AND(F20=5.5,G20&gt;135),(135*1)+((G20-135)*0.85),AND(F20=6,G20&gt;145),(145*1)+((G20-145)*0.85),TRUE(),G20)</f>
        <v>103.33</v>
      </c>
      <c r="AA20" s="255">
        <v>0</v>
      </c>
      <c r="AC20" s="256" t="s">
        <v>101</v>
      </c>
      <c r="AD20" s="258">
        <v>10</v>
      </c>
      <c r="AE20" s="257" t="s">
        <v>45</v>
      </c>
    </row>
    <row r="21" spans="1:31" s="222" customFormat="1" ht="14.25" customHeight="1" x14ac:dyDescent="0.3">
      <c r="A21" s="257" t="s">
        <v>45</v>
      </c>
      <c r="B21" s="258">
        <v>130</v>
      </c>
      <c r="C21" s="258">
        <v>11</v>
      </c>
      <c r="D21" s="259" t="s">
        <v>56</v>
      </c>
      <c r="E21" s="259">
        <v>3</v>
      </c>
      <c r="F21" s="259">
        <v>5</v>
      </c>
      <c r="G21" s="259">
        <v>119.71</v>
      </c>
      <c r="H21" s="259">
        <v>14.96</v>
      </c>
      <c r="I21" s="260">
        <v>7.95</v>
      </c>
      <c r="J21" s="258">
        <v>1</v>
      </c>
      <c r="K21" s="261"/>
      <c r="L21" s="267" t="s">
        <v>47</v>
      </c>
      <c r="M21" s="261"/>
      <c r="N21" s="261"/>
      <c r="O21" s="261"/>
      <c r="P21" s="261"/>
      <c r="Q21" s="261"/>
      <c r="R21" s="78" t="s">
        <v>52</v>
      </c>
      <c r="S21" s="262">
        <v>32</v>
      </c>
      <c r="T21" s="263">
        <f t="shared" si="1"/>
        <v>14.96</v>
      </c>
      <c r="U21" s="263">
        <f t="shared" si="2"/>
        <v>0</v>
      </c>
      <c r="V21" s="263">
        <f t="shared" si="3"/>
        <v>0</v>
      </c>
      <c r="W21" s="263">
        <f t="shared" si="4"/>
        <v>0</v>
      </c>
      <c r="X21" s="261">
        <f t="shared" si="5"/>
        <v>0</v>
      </c>
      <c r="Y21" s="265">
        <f t="shared" si="6"/>
        <v>0</v>
      </c>
      <c r="Z21" s="254">
        <f t="array" ref="Z21">_xlfn.IFS(AND(F21=3,G21&gt;90),(90*1)+((G21-90)*0.85),AND(F21=3.5,G21&gt;100),(100*1)+((G21-100)*0.85),AND(F21=4,G21&gt;110),(110*1)+((G21-110)*0.85),AND(F21=4.5,G21&gt;120),(120*1)+((G21-120)*0.85),AND(F21=5,G21&gt;125),(125*1)+((G21-125)*0.85),AND(F21=5.5,G21&gt;135),(135*1)+((G21-135)*0.85),AND(F21=6,G21&gt;145),(145*1)+((G21-145)*0.85),TRUE(),G21)</f>
        <v>119.71</v>
      </c>
      <c r="AA21" s="255">
        <v>0</v>
      </c>
      <c r="AC21" s="256" t="s">
        <v>102</v>
      </c>
      <c r="AD21" s="258">
        <v>11</v>
      </c>
      <c r="AE21" s="257" t="s">
        <v>45</v>
      </c>
    </row>
    <row r="22" spans="1:31" s="222" customFormat="1" ht="14.25" customHeight="1" x14ac:dyDescent="0.3">
      <c r="A22" s="257" t="s">
        <v>45</v>
      </c>
      <c r="B22" s="258">
        <v>130</v>
      </c>
      <c r="C22" s="258">
        <v>12</v>
      </c>
      <c r="D22" s="267" t="s">
        <v>57</v>
      </c>
      <c r="E22" s="267">
        <v>4</v>
      </c>
      <c r="F22" s="259">
        <v>3</v>
      </c>
      <c r="G22" s="268">
        <v>79.989999999999995</v>
      </c>
      <c r="H22" s="259">
        <v>11.98</v>
      </c>
      <c r="I22" s="269">
        <v>5.87</v>
      </c>
      <c r="J22" s="258">
        <v>2</v>
      </c>
      <c r="K22" s="261">
        <f>(SUMPRODUCT(H22:J22,$H$9:$J$9)+$G$9*Z22+SUMPRODUCT(T22:W22,$T$9:$W$9))*$I$5</f>
        <v>1555397.3223199996</v>
      </c>
      <c r="L22" s="267" t="s">
        <v>54</v>
      </c>
      <c r="M22" s="261">
        <f t="shared" si="8"/>
        <v>1555397.3223199996</v>
      </c>
      <c r="N22" s="261">
        <f t="shared" si="9"/>
        <v>1255397.3223199996</v>
      </c>
      <c r="O22" s="261">
        <f t="shared" si="10"/>
        <v>1608280.8312788797</v>
      </c>
      <c r="P22" s="261">
        <f t="shared" si="11"/>
        <v>352883.50895888009</v>
      </c>
      <c r="Q22" s="261">
        <f t="shared" si="12"/>
        <v>1255397.3223199996</v>
      </c>
      <c r="R22" s="78" t="s">
        <v>52</v>
      </c>
      <c r="S22" s="262">
        <v>23</v>
      </c>
      <c r="T22" s="263">
        <f t="shared" si="1"/>
        <v>11.98</v>
      </c>
      <c r="U22" s="263">
        <f t="shared" si="2"/>
        <v>0</v>
      </c>
      <c r="V22" s="263">
        <f t="shared" si="3"/>
        <v>0</v>
      </c>
      <c r="W22" s="263">
        <f t="shared" si="4"/>
        <v>0</v>
      </c>
      <c r="X22" s="261">
        <f t="shared" si="5"/>
        <v>311079.4644639999</v>
      </c>
      <c r="Y22" s="265">
        <f t="shared" si="6"/>
        <v>300000</v>
      </c>
      <c r="Z22" s="254">
        <f t="array" ref="Z22">_xlfn.IFS(AND(F22=3,G22&gt;90),(90*1)+((G22-90)*0.85),AND(F22=3.5,G22&gt;100),(100*1)+((G22-100)*0.85),AND(F22=4,G22&gt;110),(110*1)+((G22-110)*0.85),AND(F22=4.5,G22&gt;120),(120*1)+((G22-120)*0.85),AND(F22=5,G22&gt;125),(125*1)+((G22-125)*0.85),AND(F22=5.5,G22&gt;135),(135*1)+((G22-135)*0.85),AND(F22=6,G22&gt;145),(145*1)+((G22-145)*0.85),TRUE(),G22)</f>
        <v>79.989999999999995</v>
      </c>
      <c r="AA22" s="255">
        <v>0</v>
      </c>
      <c r="AC22" s="256" t="s">
        <v>103</v>
      </c>
      <c r="AD22" s="258">
        <v>12</v>
      </c>
      <c r="AE22" s="257" t="s">
        <v>45</v>
      </c>
    </row>
    <row r="23" spans="1:31" s="222" customFormat="1" ht="14.25" customHeight="1" x14ac:dyDescent="0.3">
      <c r="A23" s="257" t="s">
        <v>45</v>
      </c>
      <c r="B23" s="258">
        <v>130</v>
      </c>
      <c r="C23" s="258">
        <v>13</v>
      </c>
      <c r="D23" s="267" t="s">
        <v>53</v>
      </c>
      <c r="E23" s="267">
        <v>4</v>
      </c>
      <c r="F23" s="259">
        <v>4</v>
      </c>
      <c r="G23" s="268">
        <v>103.33</v>
      </c>
      <c r="H23" s="259">
        <v>14.98</v>
      </c>
      <c r="I23" s="269">
        <v>7.2</v>
      </c>
      <c r="J23" s="258">
        <v>1</v>
      </c>
      <c r="K23" s="261">
        <f>(SUMPRODUCT(H23:J23,$H$9:$J$9)+$G$9*Z23+SUMPRODUCT(T23:W23,$T$9:$W$9))*$I$5</f>
        <v>1949244.9830399996</v>
      </c>
      <c r="L23" s="267" t="s">
        <v>54</v>
      </c>
      <c r="M23" s="261">
        <f t="shared" si="8"/>
        <v>1949244.9830399996</v>
      </c>
      <c r="N23" s="261">
        <f t="shared" si="9"/>
        <v>1649244.9830399996</v>
      </c>
      <c r="O23" s="261">
        <f t="shared" si="10"/>
        <v>2015519.3124633597</v>
      </c>
      <c r="P23" s="261">
        <f t="shared" si="11"/>
        <v>366274.32942336006</v>
      </c>
      <c r="Q23" s="261">
        <f t="shared" si="12"/>
        <v>1649244.9830399996</v>
      </c>
      <c r="R23" s="78" t="s">
        <v>52</v>
      </c>
      <c r="S23" s="262">
        <v>31</v>
      </c>
      <c r="T23" s="263">
        <f t="shared" si="1"/>
        <v>14.98</v>
      </c>
      <c r="U23" s="263">
        <f t="shared" si="2"/>
        <v>0</v>
      </c>
      <c r="V23" s="263">
        <f t="shared" si="3"/>
        <v>0</v>
      </c>
      <c r="W23" s="263">
        <f t="shared" si="4"/>
        <v>0</v>
      </c>
      <c r="X23" s="261">
        <f t="shared" si="5"/>
        <v>389848.99660799996</v>
      </c>
      <c r="Y23" s="265">
        <f t="shared" si="6"/>
        <v>300000</v>
      </c>
      <c r="Z23" s="254">
        <f t="array" ref="Z23">_xlfn.IFS(AND(F23=3,G23&gt;90),(90*1)+((G23-90)*0.85),AND(F23=3.5,G23&gt;100),(100*1)+((G23-100)*0.85),AND(F23=4,G23&gt;110),(110*1)+((G23-110)*0.85),AND(F23=4.5,G23&gt;120),(120*1)+((G23-120)*0.85),AND(F23=5,G23&gt;125),(125*1)+((G23-125)*0.85),AND(F23=5.5,G23&gt;135),(135*1)+((G23-135)*0.85),AND(F23=6,G23&gt;145),(145*1)+((G23-145)*0.85),TRUE(),G23)</f>
        <v>103.33</v>
      </c>
      <c r="AA23" s="255">
        <v>0</v>
      </c>
      <c r="AC23" s="256" t="s">
        <v>101</v>
      </c>
      <c r="AD23" s="258">
        <v>13</v>
      </c>
      <c r="AE23" s="257" t="s">
        <v>45</v>
      </c>
    </row>
    <row r="24" spans="1:31" s="222" customFormat="1" ht="14.25" customHeight="1" x14ac:dyDescent="0.3">
      <c r="A24" s="257" t="s">
        <v>45</v>
      </c>
      <c r="B24" s="258">
        <v>130</v>
      </c>
      <c r="C24" s="258">
        <v>14</v>
      </c>
      <c r="D24" s="259" t="s">
        <v>56</v>
      </c>
      <c r="E24" s="259">
        <v>4</v>
      </c>
      <c r="F24" s="259">
        <v>5</v>
      </c>
      <c r="G24" s="259">
        <v>119.71</v>
      </c>
      <c r="H24" s="259">
        <v>14.96</v>
      </c>
      <c r="I24" s="260">
        <v>7.09</v>
      </c>
      <c r="J24" s="258">
        <v>2</v>
      </c>
      <c r="K24" s="261"/>
      <c r="L24" s="267" t="s">
        <v>47</v>
      </c>
      <c r="M24" s="261"/>
      <c r="N24" s="261"/>
      <c r="O24" s="261"/>
      <c r="P24" s="261"/>
      <c r="Q24" s="261"/>
      <c r="R24" s="78" t="s">
        <v>52</v>
      </c>
      <c r="S24" s="262">
        <v>30</v>
      </c>
      <c r="T24" s="263">
        <f t="shared" si="1"/>
        <v>14.96</v>
      </c>
      <c r="U24" s="263">
        <f t="shared" si="2"/>
        <v>0</v>
      </c>
      <c r="V24" s="263">
        <f t="shared" si="3"/>
        <v>0</v>
      </c>
      <c r="W24" s="263">
        <f t="shared" si="4"/>
        <v>0</v>
      </c>
      <c r="X24" s="261">
        <f t="shared" si="5"/>
        <v>0</v>
      </c>
      <c r="Y24" s="265">
        <f t="shared" si="6"/>
        <v>0</v>
      </c>
      <c r="Z24" s="254">
        <f t="array" ref="Z24">_xlfn.IFS(AND(F24=3,G24&gt;90),(90*1)+((G24-90)*0.85),AND(F24=3.5,G24&gt;100),(100*1)+((G24-100)*0.85),AND(F24=4,G24&gt;110),(110*1)+((G24-110)*0.85),AND(F24=4.5,G24&gt;120),(120*1)+((G24-120)*0.85),AND(F24=5,G24&gt;125),(125*1)+((G24-125)*0.85),AND(F24=5.5,G24&gt;135),(135*1)+((G24-135)*0.85),AND(F24=6,G24&gt;145),(145*1)+((G24-145)*0.85),TRUE(),G24)</f>
        <v>119.71</v>
      </c>
      <c r="AA24" s="255">
        <v>0</v>
      </c>
      <c r="AC24" s="256" t="s">
        <v>102</v>
      </c>
      <c r="AD24" s="258">
        <v>14</v>
      </c>
      <c r="AE24" s="257" t="s">
        <v>45</v>
      </c>
    </row>
    <row r="25" spans="1:31" s="222" customFormat="1" ht="14.25" customHeight="1" x14ac:dyDescent="0.3">
      <c r="A25" s="257" t="s">
        <v>45</v>
      </c>
      <c r="B25" s="258">
        <v>130</v>
      </c>
      <c r="C25" s="258">
        <v>15</v>
      </c>
      <c r="D25" s="267" t="s">
        <v>106</v>
      </c>
      <c r="E25" s="267">
        <v>5</v>
      </c>
      <c r="F25" s="259">
        <v>3</v>
      </c>
      <c r="G25" s="268">
        <v>79.989999999999995</v>
      </c>
      <c r="H25" s="259">
        <v>11.98</v>
      </c>
      <c r="I25" s="269">
        <v>6.52</v>
      </c>
      <c r="J25" s="258">
        <v>1</v>
      </c>
      <c r="K25" s="261"/>
      <c r="L25" s="267" t="s">
        <v>47</v>
      </c>
      <c r="M25" s="261"/>
      <c r="N25" s="261"/>
      <c r="O25" s="261"/>
      <c r="P25" s="261"/>
      <c r="Q25" s="261"/>
      <c r="R25" s="78" t="s">
        <v>52</v>
      </c>
      <c r="S25" s="262">
        <v>29</v>
      </c>
      <c r="T25" s="263">
        <f t="shared" si="1"/>
        <v>11.98</v>
      </c>
      <c r="U25" s="263">
        <f t="shared" si="2"/>
        <v>0</v>
      </c>
      <c r="V25" s="263">
        <f t="shared" si="3"/>
        <v>0</v>
      </c>
      <c r="W25" s="263">
        <f t="shared" si="4"/>
        <v>0</v>
      </c>
      <c r="X25" s="261">
        <f t="shared" si="5"/>
        <v>0</v>
      </c>
      <c r="Y25" s="265">
        <f t="shared" si="6"/>
        <v>0</v>
      </c>
      <c r="Z25" s="254">
        <f t="array" ref="Z25">_xlfn.IFS(AND(F25=3,G25&gt;90),(90*1)+((G25-90)*0.85),AND(F25=3.5,G25&gt;100),(100*1)+((G25-100)*0.85),AND(F25=4,G25&gt;110),(110*1)+((G25-110)*0.85),AND(F25=4.5,G25&gt;120),(120*1)+((G25-120)*0.85),AND(F25=5,G25&gt;125),(125*1)+((G25-125)*0.85),AND(F25=5.5,G25&gt;135),(135*1)+((G25-135)*0.85),AND(F25=6,G25&gt;145),(145*1)+((G25-145)*0.85),TRUE(),G25)</f>
        <v>79.989999999999995</v>
      </c>
      <c r="AA25" s="255">
        <v>0</v>
      </c>
      <c r="AC25" s="256" t="s">
        <v>103</v>
      </c>
      <c r="AD25" s="258">
        <v>15</v>
      </c>
      <c r="AE25" s="257" t="s">
        <v>45</v>
      </c>
    </row>
    <row r="26" spans="1:31" s="222" customFormat="1" ht="14.25" customHeight="1" x14ac:dyDescent="0.3">
      <c r="A26" s="257" t="s">
        <v>45</v>
      </c>
      <c r="B26" s="258">
        <v>130</v>
      </c>
      <c r="C26" s="258">
        <v>16</v>
      </c>
      <c r="D26" s="267" t="s">
        <v>107</v>
      </c>
      <c r="E26" s="267">
        <v>5</v>
      </c>
      <c r="F26" s="259">
        <v>4</v>
      </c>
      <c r="G26" s="268">
        <v>103.33</v>
      </c>
      <c r="H26" s="259">
        <v>14.98</v>
      </c>
      <c r="I26" s="269">
        <v>5.87</v>
      </c>
      <c r="J26" s="258">
        <v>1</v>
      </c>
      <c r="K26" s="261"/>
      <c r="L26" s="267" t="s">
        <v>47</v>
      </c>
      <c r="M26" s="261"/>
      <c r="N26" s="261"/>
      <c r="O26" s="261"/>
      <c r="P26" s="261"/>
      <c r="Q26" s="261"/>
      <c r="R26" s="78" t="s">
        <v>58</v>
      </c>
      <c r="S26" s="262">
        <v>36</v>
      </c>
      <c r="T26" s="263">
        <f t="shared" si="1"/>
        <v>14.98</v>
      </c>
      <c r="U26" s="263">
        <f t="shared" si="2"/>
        <v>0</v>
      </c>
      <c r="V26" s="263">
        <f t="shared" si="3"/>
        <v>0</v>
      </c>
      <c r="W26" s="263">
        <f t="shared" si="4"/>
        <v>0</v>
      </c>
      <c r="X26" s="261">
        <f t="shared" si="5"/>
        <v>0</v>
      </c>
      <c r="Y26" s="265">
        <f t="shared" si="6"/>
        <v>0</v>
      </c>
      <c r="Z26" s="254">
        <f t="array" ref="Z26">_xlfn.IFS(AND(F26=3,G26&gt;90),(90*1)+((G26-90)*0.85),AND(F26=3.5,G26&gt;100),(100*1)+((G26-100)*0.85),AND(F26=4,G26&gt;110),(110*1)+((G26-110)*0.85),AND(F26=4.5,G26&gt;120),(120*1)+((G26-120)*0.85),AND(F26=5,G26&gt;125),(125*1)+((G26-125)*0.85),AND(F26=5.5,G26&gt;135),(135*1)+((G26-135)*0.85),AND(F26=6,G26&gt;145),(145*1)+((G26-145)*0.85),TRUE(),G26)</f>
        <v>103.33</v>
      </c>
      <c r="AA26" s="255">
        <v>0</v>
      </c>
      <c r="AC26" s="256" t="s">
        <v>101</v>
      </c>
      <c r="AD26" s="258">
        <v>16</v>
      </c>
      <c r="AE26" s="257" t="s">
        <v>45</v>
      </c>
    </row>
    <row r="27" spans="1:31" s="222" customFormat="1" ht="14.25" customHeight="1" x14ac:dyDescent="0.3">
      <c r="A27" s="257" t="s">
        <v>45</v>
      </c>
      <c r="B27" s="258">
        <v>130</v>
      </c>
      <c r="C27" s="258">
        <v>17</v>
      </c>
      <c r="D27" s="267" t="s">
        <v>108</v>
      </c>
      <c r="E27" s="267">
        <v>5</v>
      </c>
      <c r="F27" s="259">
        <v>4</v>
      </c>
      <c r="G27" s="268">
        <v>104.09</v>
      </c>
      <c r="H27" s="259">
        <v>29.91</v>
      </c>
      <c r="I27" s="269">
        <v>7.93</v>
      </c>
      <c r="J27" s="258">
        <v>1</v>
      </c>
      <c r="K27" s="261"/>
      <c r="L27" s="259" t="s">
        <v>47</v>
      </c>
      <c r="M27" s="261"/>
      <c r="N27" s="261"/>
      <c r="O27" s="261"/>
      <c r="P27" s="261"/>
      <c r="Q27" s="261"/>
      <c r="R27" s="78" t="s">
        <v>52</v>
      </c>
      <c r="S27" s="262">
        <v>26</v>
      </c>
      <c r="T27" s="263">
        <f t="shared" si="1"/>
        <v>29.91</v>
      </c>
      <c r="U27" s="263">
        <f t="shared" si="2"/>
        <v>0</v>
      </c>
      <c r="V27" s="263">
        <f t="shared" si="3"/>
        <v>0</v>
      </c>
      <c r="W27" s="263">
        <f t="shared" si="4"/>
        <v>0</v>
      </c>
      <c r="X27" s="261">
        <f t="shared" si="5"/>
        <v>0</v>
      </c>
      <c r="Y27" s="265">
        <f t="shared" si="6"/>
        <v>0</v>
      </c>
      <c r="Z27" s="254">
        <f t="array" ref="Z27">_xlfn.IFS(AND(F27=3,G27&gt;90),(90*1)+((G27-90)*0.85),AND(F27=3.5,G27&gt;100),(100*1)+((G27-100)*0.85),AND(F27=4,G27&gt;110),(110*1)+((G27-110)*0.85),AND(F27=4.5,G27&gt;120),(120*1)+((G27-120)*0.85),AND(F27=5,G27&gt;125),(125*1)+((G27-125)*0.85),AND(F27=5.5,G27&gt;135),(135*1)+((G27-135)*0.85),AND(F27=6,G27&gt;145),(145*1)+((G27-145)*0.85),TRUE(),G27)</f>
        <v>104.09</v>
      </c>
      <c r="AA27" s="255">
        <v>0</v>
      </c>
      <c r="AC27" s="256" t="s">
        <v>102</v>
      </c>
      <c r="AD27" s="258">
        <v>17</v>
      </c>
      <c r="AE27" s="257" t="s">
        <v>45</v>
      </c>
    </row>
    <row r="28" spans="1:31" s="222" customFormat="1" ht="14.25" customHeight="1" x14ac:dyDescent="0.3">
      <c r="A28" s="257" t="s">
        <v>45</v>
      </c>
      <c r="B28" s="258">
        <v>130</v>
      </c>
      <c r="C28" s="258">
        <v>18</v>
      </c>
      <c r="D28" s="259" t="s">
        <v>62</v>
      </c>
      <c r="E28" s="259">
        <v>6</v>
      </c>
      <c r="F28" s="259">
        <v>5</v>
      </c>
      <c r="G28" s="259">
        <v>130.96</v>
      </c>
      <c r="H28" s="259">
        <v>58.96</v>
      </c>
      <c r="I28" s="260">
        <v>11.05</v>
      </c>
      <c r="J28" s="258">
        <v>2</v>
      </c>
      <c r="K28" s="261"/>
      <c r="L28" s="259" t="s">
        <v>47</v>
      </c>
      <c r="M28" s="261"/>
      <c r="N28" s="261"/>
      <c r="O28" s="261"/>
      <c r="P28" s="261"/>
      <c r="Q28" s="261"/>
      <c r="R28" s="78" t="s">
        <v>52</v>
      </c>
      <c r="S28" s="262">
        <v>24</v>
      </c>
      <c r="T28" s="263">
        <f t="shared" si="1"/>
        <v>30</v>
      </c>
      <c r="U28" s="263">
        <f t="shared" si="2"/>
        <v>28.96</v>
      </c>
      <c r="V28" s="263">
        <f t="shared" si="3"/>
        <v>0</v>
      </c>
      <c r="W28" s="263">
        <f t="shared" si="4"/>
        <v>0</v>
      </c>
      <c r="X28" s="261">
        <f t="shared" si="5"/>
        <v>0</v>
      </c>
      <c r="Y28" s="265">
        <f t="shared" si="6"/>
        <v>0</v>
      </c>
      <c r="Z28" s="254">
        <f t="array" ref="Z28">_xlfn.IFS(AND(F28=3,G28&gt;90),(90*1)+((G28-90)*0.85),AND(F28=3.5,G28&gt;100),(100*1)+((G28-100)*0.85),AND(F28=4,G28&gt;110),(110*1)+((G28-110)*0.85),AND(F28=4.5,G28&gt;120),(120*1)+((G28-120)*0.85),AND(F28=5,G28&gt;125),(125*1)+((G28-125)*0.85),AND(F28=5.5,G28&gt;135),(135*1)+((G28-135)*0.85),AND(F28=6,G28&gt;145),(145*1)+((G28-145)*0.85),TRUE(),G28)</f>
        <v>130.066</v>
      </c>
      <c r="AA28" s="255">
        <v>0</v>
      </c>
      <c r="AB28" s="222">
        <v>125</v>
      </c>
      <c r="AC28" s="256" t="s">
        <v>109</v>
      </c>
      <c r="AD28" s="258">
        <v>18</v>
      </c>
      <c r="AE28" s="257" t="s">
        <v>45</v>
      </c>
    </row>
    <row r="29" spans="1:31" s="222" customFormat="1" ht="14.25" customHeight="1" x14ac:dyDescent="0.3">
      <c r="A29" s="257" t="s">
        <v>45</v>
      </c>
      <c r="B29" s="258">
        <v>130</v>
      </c>
      <c r="C29" s="258">
        <v>19</v>
      </c>
      <c r="D29" s="267" t="s">
        <v>63</v>
      </c>
      <c r="E29" s="267">
        <v>6</v>
      </c>
      <c r="F29" s="259">
        <v>4</v>
      </c>
      <c r="G29" s="268">
        <v>104.09</v>
      </c>
      <c r="H29" s="259">
        <v>14.96</v>
      </c>
      <c r="I29" s="269">
        <v>7.09</v>
      </c>
      <c r="J29" s="258">
        <v>2</v>
      </c>
      <c r="K29" s="261">
        <f>(SUMPRODUCT(H29:J29,$H$9:$J$9)+$G$9*Z29+SUMPRODUCT(T29:W29,$T$9:$W$9))*$I$5</f>
        <v>1996115.1376399999</v>
      </c>
      <c r="L29" s="267" t="s">
        <v>54</v>
      </c>
      <c r="M29" s="261">
        <f t="shared" si="8"/>
        <v>1996115.1376399999</v>
      </c>
      <c r="N29" s="261">
        <f t="shared" si="9"/>
        <v>1696115.1376399999</v>
      </c>
      <c r="O29" s="261">
        <f t="shared" si="10"/>
        <v>2063983.05231976</v>
      </c>
      <c r="P29" s="261">
        <f t="shared" si="11"/>
        <v>367867.91467976011</v>
      </c>
      <c r="Q29" s="261">
        <f t="shared" si="12"/>
        <v>1696115.1376399999</v>
      </c>
      <c r="R29" s="78" t="s">
        <v>55</v>
      </c>
      <c r="S29" s="262">
        <v>13</v>
      </c>
      <c r="T29" s="263">
        <f t="shared" si="1"/>
        <v>14.96</v>
      </c>
      <c r="U29" s="263">
        <f t="shared" si="2"/>
        <v>0</v>
      </c>
      <c r="V29" s="263">
        <f t="shared" si="3"/>
        <v>0</v>
      </c>
      <c r="W29" s="263">
        <f t="shared" si="4"/>
        <v>0</v>
      </c>
      <c r="X29" s="261">
        <f t="shared" si="5"/>
        <v>399223.02752800001</v>
      </c>
      <c r="Y29" s="265">
        <f t="shared" si="6"/>
        <v>300000</v>
      </c>
      <c r="Z29" s="254">
        <f t="array" ref="Z29">_xlfn.IFS(AND(F29=3,G29&gt;90),(90*1)+((G29-90)*0.85),AND(F29=3.5,G29&gt;100),(100*1)+((G29-100)*0.85),AND(F29=4,G29&gt;110),(110*1)+((G29-110)*0.85),AND(F29=4.5,G29&gt;120),(120*1)+((G29-120)*0.85),AND(F29=5,G29&gt;125),(125*1)+((G29-125)*0.85),AND(F29=5.5,G29&gt;135),(135*1)+((G29-135)*0.85),AND(F29=6,G29&gt;145),(145*1)+((G29-145)*0.85),TRUE(),G29)</f>
        <v>104.09</v>
      </c>
      <c r="AA29" s="255">
        <v>0</v>
      </c>
      <c r="AC29" s="256" t="s">
        <v>102</v>
      </c>
      <c r="AD29" s="258">
        <v>19</v>
      </c>
      <c r="AE29" s="257" t="s">
        <v>45</v>
      </c>
    </row>
    <row r="30" spans="1:31" s="222" customFormat="1" ht="15" customHeight="1" thickBot="1" x14ac:dyDescent="0.35">
      <c r="A30" s="270" t="s">
        <v>45</v>
      </c>
      <c r="B30" s="271">
        <v>130</v>
      </c>
      <c r="C30" s="271">
        <v>20</v>
      </c>
      <c r="D30" s="272" t="s">
        <v>64</v>
      </c>
      <c r="E30" s="272">
        <v>7</v>
      </c>
      <c r="F30" s="272">
        <v>6</v>
      </c>
      <c r="G30" s="273">
        <v>174.14</v>
      </c>
      <c r="H30" s="272">
        <v>88.97</v>
      </c>
      <c r="I30" s="274">
        <v>11.05</v>
      </c>
      <c r="J30" s="271">
        <v>2</v>
      </c>
      <c r="K30" s="275"/>
      <c r="L30" s="259" t="s">
        <v>47</v>
      </c>
      <c r="M30" s="275"/>
      <c r="N30" s="275"/>
      <c r="O30" s="275"/>
      <c r="P30" s="275"/>
      <c r="Q30" s="275"/>
      <c r="R30" s="276" t="s">
        <v>58</v>
      </c>
      <c r="S30" s="262">
        <v>37</v>
      </c>
      <c r="T30" s="277">
        <f t="shared" si="1"/>
        <v>30</v>
      </c>
      <c r="U30" s="277">
        <f t="shared" si="2"/>
        <v>30</v>
      </c>
      <c r="V30" s="277">
        <f t="shared" si="3"/>
        <v>28.97</v>
      </c>
      <c r="W30" s="277">
        <f t="shared" si="4"/>
        <v>0</v>
      </c>
      <c r="X30" s="275">
        <f t="shared" si="5"/>
        <v>0</v>
      </c>
      <c r="Y30" s="278">
        <f t="shared" si="6"/>
        <v>0</v>
      </c>
      <c r="Z30" s="254">
        <f t="array" ref="Z30">_xlfn.IFS(AND(F30=3,G30&gt;90),(90*1)+((G30-90)*0.85),AND(F30=3.5,G30&gt;100),(100*1)+((G30-100)*0.85),AND(F30=4,G30&gt;110),(110*1)+((G30-110)*0.85),AND(F30=4.5,G30&gt;120),(120*1)+((G30-120)*0.85),AND(F30=5,G30&gt;125),(125*1)+((G30-125)*0.85),AND(F30=5.5,G30&gt;135),(135*1)+((G30-135)*0.85),AND(F30=6,G30&gt;145),(145*1)+((G30-145)*0.85),TRUE(),G30)</f>
        <v>169.76899999999998</v>
      </c>
      <c r="AA30" s="255">
        <v>0</v>
      </c>
      <c r="AB30" s="222">
        <v>145</v>
      </c>
      <c r="AC30" s="256" t="s">
        <v>110</v>
      </c>
      <c r="AD30" s="271">
        <v>20</v>
      </c>
      <c r="AE30" s="270" t="s">
        <v>45</v>
      </c>
    </row>
    <row r="31" spans="1:31" s="222" customFormat="1" ht="15" customHeight="1" thickBot="1" x14ac:dyDescent="0.4">
      <c r="A31" s="279" t="s">
        <v>92</v>
      </c>
      <c r="B31" s="280"/>
      <c r="C31" s="280"/>
      <c r="D31" s="280"/>
      <c r="E31" s="280"/>
      <c r="F31" s="280"/>
      <c r="G31" s="281">
        <f>SUM(G11:G30)/20</f>
        <v>106.62349999999999</v>
      </c>
      <c r="H31" s="282"/>
      <c r="I31" s="283" t="s">
        <v>93</v>
      </c>
      <c r="J31" s="284"/>
      <c r="K31" s="284"/>
      <c r="L31" s="284">
        <f>COUNTIF(L11:L30,"כן")/COUNT(C11:C30)</f>
        <v>0.5</v>
      </c>
      <c r="M31" s="284"/>
      <c r="N31" s="284"/>
      <c r="O31" s="284"/>
      <c r="P31" s="284"/>
      <c r="Q31" s="284"/>
      <c r="R31" s="285"/>
      <c r="S31" s="286"/>
      <c r="T31" s="284"/>
      <c r="U31" s="284"/>
      <c r="V31" s="284"/>
      <c r="W31" s="284"/>
      <c r="X31" s="284"/>
      <c r="Y31" s="284"/>
      <c r="Z31" s="254"/>
      <c r="AA31" s="255">
        <v>0</v>
      </c>
      <c r="AC31" s="256"/>
      <c r="AD31" s="280"/>
      <c r="AE31" s="279" t="s">
        <v>92</v>
      </c>
    </row>
    <row r="32" spans="1:31" s="222" customFormat="1" ht="18.75" customHeight="1" x14ac:dyDescent="0.3">
      <c r="A32" s="243" t="s">
        <v>65</v>
      </c>
      <c r="B32" s="244">
        <v>130</v>
      </c>
      <c r="C32" s="244">
        <v>1</v>
      </c>
      <c r="D32" s="245" t="s">
        <v>46</v>
      </c>
      <c r="E32" s="245">
        <v>0</v>
      </c>
      <c r="F32" s="245">
        <v>4</v>
      </c>
      <c r="G32" s="245">
        <v>104.04</v>
      </c>
      <c r="H32" s="245">
        <v>74.34</v>
      </c>
      <c r="I32" s="246">
        <v>5.87</v>
      </c>
      <c r="J32" s="287">
        <v>2</v>
      </c>
      <c r="K32" s="261"/>
      <c r="L32" s="259" t="s">
        <v>47</v>
      </c>
      <c r="M32" s="247"/>
      <c r="N32" s="247"/>
      <c r="O32" s="247"/>
      <c r="P32" s="247"/>
      <c r="Q32" s="247"/>
      <c r="R32" s="58" t="s">
        <v>48</v>
      </c>
      <c r="S32" s="288">
        <v>38</v>
      </c>
      <c r="T32" s="289">
        <f t="shared" ref="T32:T51" si="13">IF((H32)&gt;30,30,(H32))</f>
        <v>30</v>
      </c>
      <c r="U32" s="289">
        <f t="shared" ref="U32:U51" si="14">IF((H32-T32)&gt;30,30,(H32-T32))</f>
        <v>30</v>
      </c>
      <c r="V32" s="290">
        <f t="shared" ref="V32:V51" si="15">IF((H32)&gt;120,60,(H32-T32-U32))</f>
        <v>14.340000000000003</v>
      </c>
      <c r="W32" s="290">
        <f t="shared" ref="W32:W51" si="16">IF((H32)&gt;120,(H32-120),0)</f>
        <v>0</v>
      </c>
      <c r="X32" s="247">
        <f t="shared" ref="X32:X51" si="17">K32*0.2</f>
        <v>0</v>
      </c>
      <c r="Y32" s="291">
        <f t="shared" ref="Y32:Y51" si="18">IF(X32&gt;300000,300000,X32)</f>
        <v>0</v>
      </c>
      <c r="Z32" s="254">
        <f t="array" ref="Z32">_xlfn.IFS(AND(F32=3,G32&gt;90),(90*1)+((G32-90)*0.85),AND(F32=3.5,G32&gt;100),(100*1)+((G32-100)*0.85),AND(F32=4,G32&gt;110),(110*1)+((G32-110)*0.85),AND(F32=4.5,G32&gt;120),(120*1)+((G32-120)*0.85),AND(F32=5,G32&gt;125),(125*1)+((G32-125)*0.85),AND(F32=5.5,G32&gt;135),(135*1)+((G32-135)*0.85),AND(F32=6,G32&gt;145),(145*1)+((G32-145)*0.85),TRUE(),G32)</f>
        <v>104.04</v>
      </c>
      <c r="AA32" s="255">
        <v>0</v>
      </c>
      <c r="AC32" s="256" t="s">
        <v>111</v>
      </c>
      <c r="AD32" s="244">
        <v>1</v>
      </c>
      <c r="AE32" s="243" t="s">
        <v>65</v>
      </c>
    </row>
    <row r="33" spans="1:31" s="266" customFormat="1" ht="18" customHeight="1" x14ac:dyDescent="0.3">
      <c r="A33" s="257" t="s">
        <v>65</v>
      </c>
      <c r="B33" s="258">
        <v>130</v>
      </c>
      <c r="C33" s="258">
        <v>2</v>
      </c>
      <c r="D33" s="259" t="s">
        <v>49</v>
      </c>
      <c r="E33" s="259">
        <v>0</v>
      </c>
      <c r="F33" s="259">
        <v>5</v>
      </c>
      <c r="G33" s="259">
        <v>119.71</v>
      </c>
      <c r="H33" s="259">
        <v>99.73</v>
      </c>
      <c r="I33" s="260">
        <v>11.05</v>
      </c>
      <c r="J33" s="292">
        <v>2</v>
      </c>
      <c r="K33" s="261"/>
      <c r="L33" s="259" t="s">
        <v>47</v>
      </c>
      <c r="M33" s="261"/>
      <c r="N33" s="261"/>
      <c r="O33" s="261"/>
      <c r="P33" s="261"/>
      <c r="Q33" s="261"/>
      <c r="R33" s="70" t="s">
        <v>66</v>
      </c>
      <c r="S33" s="293">
        <v>4</v>
      </c>
      <c r="T33" s="263">
        <f t="shared" si="13"/>
        <v>30</v>
      </c>
      <c r="U33" s="263">
        <f t="shared" si="14"/>
        <v>30</v>
      </c>
      <c r="V33" s="264">
        <f t="shared" si="15"/>
        <v>39.730000000000004</v>
      </c>
      <c r="W33" s="264">
        <f t="shared" si="16"/>
        <v>0</v>
      </c>
      <c r="X33" s="261">
        <f t="shared" si="17"/>
        <v>0</v>
      </c>
      <c r="Y33" s="265">
        <f t="shared" si="18"/>
        <v>0</v>
      </c>
      <c r="Z33" s="254">
        <f t="array" ref="Z33">_xlfn.IFS(AND(F33=3,G33&gt;90),(90*1)+((G33-90)*0.85),AND(F33=3.5,G33&gt;100),(100*1)+((G33-100)*0.85),AND(F33=4,G33&gt;110),(110*1)+((G33-110)*0.85),AND(F33=4.5,G33&gt;120),(120*1)+((G33-120)*0.85),AND(F33=5,G33&gt;125),(125*1)+((G33-125)*0.85),AND(F33=5.5,G33&gt;135),(135*1)+((G33-135)*0.85),AND(F33=6,G33&gt;145),(145*1)+((G33-145)*0.85),TRUE(),G33)</f>
        <v>119.71</v>
      </c>
      <c r="AA33" s="255">
        <v>0</v>
      </c>
      <c r="AC33" s="256" t="s">
        <v>112</v>
      </c>
      <c r="AD33" s="258">
        <v>2</v>
      </c>
      <c r="AE33" s="257" t="s">
        <v>65</v>
      </c>
    </row>
    <row r="34" spans="1:31" s="222" customFormat="1" ht="14.25" customHeight="1" x14ac:dyDescent="0.3">
      <c r="A34" s="257" t="s">
        <v>65</v>
      </c>
      <c r="B34" s="258">
        <v>130</v>
      </c>
      <c r="C34" s="258">
        <v>3</v>
      </c>
      <c r="D34" s="259" t="s">
        <v>51</v>
      </c>
      <c r="E34" s="259">
        <v>1</v>
      </c>
      <c r="F34" s="259">
        <v>3</v>
      </c>
      <c r="G34" s="259">
        <v>79.989999999999995</v>
      </c>
      <c r="H34" s="259">
        <v>30.13</v>
      </c>
      <c r="I34" s="269">
        <v>6.15</v>
      </c>
      <c r="J34" s="292">
        <v>1</v>
      </c>
      <c r="K34" s="261"/>
      <c r="L34" s="259" t="s">
        <v>47</v>
      </c>
      <c r="M34" s="261"/>
      <c r="N34" s="261"/>
      <c r="O34" s="261"/>
      <c r="P34" s="261"/>
      <c r="Q34" s="261"/>
      <c r="R34" s="78" t="s">
        <v>52</v>
      </c>
      <c r="S34" s="293">
        <v>18</v>
      </c>
      <c r="T34" s="263">
        <f t="shared" si="13"/>
        <v>30</v>
      </c>
      <c r="U34" s="263">
        <f t="shared" si="14"/>
        <v>0.12999999999999901</v>
      </c>
      <c r="V34" s="263">
        <f t="shared" si="15"/>
        <v>0</v>
      </c>
      <c r="W34" s="263">
        <f t="shared" si="16"/>
        <v>0</v>
      </c>
      <c r="X34" s="261">
        <f t="shared" si="17"/>
        <v>0</v>
      </c>
      <c r="Y34" s="265">
        <f t="shared" si="18"/>
        <v>0</v>
      </c>
      <c r="Z34" s="254">
        <f t="array" ref="Z34">_xlfn.IFS(AND(F34=3,G34&gt;90),(90*1)+((G34-90)*0.85),AND(F34=3.5,G34&gt;100),(100*1)+((G34-100)*0.85),AND(F34=4,G34&gt;110),(110*1)+((G34-110)*0.85),AND(F34=4.5,G34&gt;120),(120*1)+((G34-120)*0.85),AND(F34=5,G34&gt;125),(125*1)+((G34-125)*0.85),AND(F34=5.5,G34&gt;135),(135*1)+((G34-135)*0.85),AND(F34=6,G34&gt;145),(145*1)+((G34-145)*0.85),TRUE(),G34)</f>
        <v>79.989999999999995</v>
      </c>
      <c r="AA34" s="255">
        <v>0</v>
      </c>
      <c r="AC34" s="256" t="s">
        <v>103</v>
      </c>
      <c r="AD34" s="258">
        <v>3</v>
      </c>
      <c r="AE34" s="257" t="s">
        <v>65</v>
      </c>
    </row>
    <row r="35" spans="1:31" s="222" customFormat="1" ht="14.25" customHeight="1" x14ac:dyDescent="0.3">
      <c r="A35" s="257" t="s">
        <v>65</v>
      </c>
      <c r="B35" s="258">
        <v>130</v>
      </c>
      <c r="C35" s="258">
        <v>4</v>
      </c>
      <c r="D35" s="267" t="s">
        <v>53</v>
      </c>
      <c r="E35" s="267">
        <v>1</v>
      </c>
      <c r="F35" s="259">
        <v>4</v>
      </c>
      <c r="G35" s="268">
        <v>103.33</v>
      </c>
      <c r="H35" s="259">
        <v>14.98</v>
      </c>
      <c r="I35" s="269">
        <v>6.15</v>
      </c>
      <c r="J35" s="292">
        <v>1</v>
      </c>
      <c r="K35" s="261">
        <f t="shared" ref="K35:K42" si="19">(SUMPRODUCT(H35:J35,$H$9:$J$9)+$G$9*Z35+SUMPRODUCT(T35:W35,$T$9:$W$9))*$I$5</f>
        <v>1941980.9738399996</v>
      </c>
      <c r="L35" s="267" t="s">
        <v>54</v>
      </c>
      <c r="M35" s="261">
        <f t="shared" ref="M35:M50" si="20">K35</f>
        <v>1941980.9738399996</v>
      </c>
      <c r="N35" s="261">
        <f t="shared" ref="N35:N50" si="21">M35-Y35</f>
        <v>1641980.9738399996</v>
      </c>
      <c r="O35" s="261">
        <f t="shared" ref="O35:O50" si="22">M35*(1+$K$8)</f>
        <v>2008008.3269505596</v>
      </c>
      <c r="P35" s="261">
        <f t="shared" ref="P35:P50" si="23">O35-N35</f>
        <v>366027.35311055998</v>
      </c>
      <c r="Q35" s="261">
        <f t="shared" ref="Q35:Q50" si="24">IF(P35&lt;500000,N35,P35-500000+N35)</f>
        <v>1641980.9738399996</v>
      </c>
      <c r="R35" s="78" t="s">
        <v>55</v>
      </c>
      <c r="S35" s="293">
        <v>2</v>
      </c>
      <c r="T35" s="263">
        <f t="shared" si="13"/>
        <v>14.98</v>
      </c>
      <c r="U35" s="263">
        <f t="shared" si="14"/>
        <v>0</v>
      </c>
      <c r="V35" s="263">
        <f t="shared" si="15"/>
        <v>0</v>
      </c>
      <c r="W35" s="263">
        <f t="shared" si="16"/>
        <v>0</v>
      </c>
      <c r="X35" s="261">
        <f t="shared" si="17"/>
        <v>388396.19476799993</v>
      </c>
      <c r="Y35" s="265">
        <f t="shared" si="18"/>
        <v>300000</v>
      </c>
      <c r="Z35" s="254">
        <f t="array" ref="Z35">_xlfn.IFS(AND(F35=3,G35&gt;90),(90*1)+((G35-90)*0.85),AND(F35=3.5,G35&gt;100),(100*1)+((G35-100)*0.85),AND(F35=4,G35&gt;110),(110*1)+((G35-110)*0.85),AND(F35=4.5,G35&gt;120),(120*1)+((G35-120)*0.85),AND(F35=5,G35&gt;125),(125*1)+((G35-125)*0.85),AND(F35=5.5,G35&gt;135),(135*1)+((G35-135)*0.85),AND(F35=6,G35&gt;145),(145*1)+((G35-145)*0.85),TRUE(),G35)</f>
        <v>103.33</v>
      </c>
      <c r="AA35" s="255">
        <v>0</v>
      </c>
      <c r="AC35" s="256" t="s">
        <v>111</v>
      </c>
      <c r="AD35" s="258">
        <v>4</v>
      </c>
      <c r="AE35" s="257" t="s">
        <v>65</v>
      </c>
    </row>
    <row r="36" spans="1:31" s="222" customFormat="1" ht="15.6" x14ac:dyDescent="0.3">
      <c r="A36" s="257" t="s">
        <v>65</v>
      </c>
      <c r="B36" s="258">
        <v>130</v>
      </c>
      <c r="C36" s="258">
        <v>5</v>
      </c>
      <c r="D36" s="259" t="s">
        <v>105</v>
      </c>
      <c r="E36" s="259">
        <v>1</v>
      </c>
      <c r="F36" s="259">
        <v>5</v>
      </c>
      <c r="G36" s="259">
        <v>119.71</v>
      </c>
      <c r="H36" s="259">
        <v>14.96</v>
      </c>
      <c r="I36" s="260">
        <v>7.09</v>
      </c>
      <c r="J36" s="292">
        <v>2</v>
      </c>
      <c r="K36" s="261">
        <f t="shared" si="19"/>
        <v>2266267.0988399996</v>
      </c>
      <c r="L36" s="267" t="s">
        <v>54</v>
      </c>
      <c r="M36" s="261">
        <f t="shared" si="20"/>
        <v>2266267.0988399996</v>
      </c>
      <c r="N36" s="261">
        <f t="shared" si="21"/>
        <v>1966267.0988399996</v>
      </c>
      <c r="O36" s="261">
        <f t="shared" si="22"/>
        <v>2343320.1802005596</v>
      </c>
      <c r="P36" s="261">
        <f t="shared" si="23"/>
        <v>377053.08136055991</v>
      </c>
      <c r="Q36" s="261">
        <f t="shared" si="24"/>
        <v>1966267.0988399996</v>
      </c>
      <c r="R36" s="78" t="s">
        <v>55</v>
      </c>
      <c r="S36" s="293">
        <v>11</v>
      </c>
      <c r="T36" s="263">
        <f t="shared" si="13"/>
        <v>14.96</v>
      </c>
      <c r="U36" s="263">
        <f t="shared" si="14"/>
        <v>0</v>
      </c>
      <c r="V36" s="263">
        <f t="shared" si="15"/>
        <v>0</v>
      </c>
      <c r="W36" s="263">
        <f t="shared" si="16"/>
        <v>0</v>
      </c>
      <c r="X36" s="261">
        <f t="shared" si="17"/>
        <v>453253.41976799996</v>
      </c>
      <c r="Y36" s="265">
        <f t="shared" si="18"/>
        <v>300000</v>
      </c>
      <c r="Z36" s="254">
        <f t="array" ref="Z36">_xlfn.IFS(AND(F36=3,G36&gt;90),(90*1)+((G36-90)*0.85),AND(F36=3.5,G36&gt;100),(100*1)+((G36-100)*0.85),AND(F36=4,G36&gt;110),(110*1)+((G36-110)*0.85),AND(F36=4.5,G36&gt;120),(120*1)+((G36-120)*0.85),AND(F36=5,G36&gt;125),(125*1)+((G36-125)*0.85),AND(F36=5.5,G36&gt;135),(135*1)+((G36-135)*0.85),AND(F36=6,G36&gt;145),(145*1)+((G36-145)*0.85),TRUE(),G36)</f>
        <v>119.71</v>
      </c>
      <c r="AA36" s="255">
        <v>0</v>
      </c>
      <c r="AC36" s="256" t="s">
        <v>113</v>
      </c>
      <c r="AD36" s="258">
        <v>5</v>
      </c>
      <c r="AE36" s="257" t="s">
        <v>65</v>
      </c>
    </row>
    <row r="37" spans="1:31" s="302" customFormat="1" ht="14.25" customHeight="1" x14ac:dyDescent="0.3">
      <c r="A37" s="257" t="s">
        <v>65</v>
      </c>
      <c r="B37" s="294">
        <v>130</v>
      </c>
      <c r="C37" s="294">
        <v>6</v>
      </c>
      <c r="D37" s="295" t="s">
        <v>57</v>
      </c>
      <c r="E37" s="295">
        <v>2</v>
      </c>
      <c r="F37" s="260">
        <v>3</v>
      </c>
      <c r="G37" s="269">
        <v>79.989999999999995</v>
      </c>
      <c r="H37" s="260">
        <v>11.98</v>
      </c>
      <c r="I37" s="269">
        <v>5.87</v>
      </c>
      <c r="J37" s="296">
        <v>1</v>
      </c>
      <c r="K37" s="297">
        <f t="shared" si="19"/>
        <v>1520806.8023199996</v>
      </c>
      <c r="L37" s="295" t="s">
        <v>54</v>
      </c>
      <c r="M37" s="297">
        <f t="shared" si="20"/>
        <v>1520806.8023199996</v>
      </c>
      <c r="N37" s="297">
        <f t="shared" si="21"/>
        <v>1220806.8023199996</v>
      </c>
      <c r="O37" s="297">
        <f t="shared" si="22"/>
        <v>1572514.2335988795</v>
      </c>
      <c r="P37" s="297">
        <f t="shared" si="23"/>
        <v>351707.43127887999</v>
      </c>
      <c r="Q37" s="297">
        <f t="shared" si="24"/>
        <v>1220806.8023199996</v>
      </c>
      <c r="R37" s="78" t="s">
        <v>114</v>
      </c>
      <c r="S37" s="293">
        <v>7</v>
      </c>
      <c r="T37" s="298">
        <f t="shared" si="13"/>
        <v>11.98</v>
      </c>
      <c r="U37" s="298">
        <f t="shared" si="14"/>
        <v>0</v>
      </c>
      <c r="V37" s="298">
        <f t="shared" si="15"/>
        <v>0</v>
      </c>
      <c r="W37" s="298">
        <f t="shared" si="16"/>
        <v>0</v>
      </c>
      <c r="X37" s="297">
        <f t="shared" si="17"/>
        <v>304161.36046399991</v>
      </c>
      <c r="Y37" s="299">
        <f t="shared" si="18"/>
        <v>300000</v>
      </c>
      <c r="Z37" s="300">
        <f t="array" ref="Z37">_xlfn.IFS(AND(F37=3,G37&gt;90),(90*1)+((G37-90)*0.85),AND(F37=3.5,G37&gt;100),(100*1)+((G37-100)*0.85),AND(F37=4,G37&gt;110),(110*1)+((G37-110)*0.85),AND(F37=4.5,G37&gt;120),(120*1)+((G37-120)*0.85),AND(F37=5,G37&gt;125),(125*1)+((G37-125)*0.85),AND(F37=5.5,G37&gt;135),(135*1)+((G37-135)*0.85),AND(F37=6,G37&gt;145),(145*1)+((G37-145)*0.85),TRUE(),G37)</f>
        <v>79.989999999999995</v>
      </c>
      <c r="AA37" s="301">
        <v>0</v>
      </c>
      <c r="AC37" s="303" t="s">
        <v>103</v>
      </c>
      <c r="AD37" s="294">
        <v>6</v>
      </c>
      <c r="AE37" s="257" t="s">
        <v>65</v>
      </c>
    </row>
    <row r="38" spans="1:31" s="222" customFormat="1" ht="14.25" customHeight="1" x14ac:dyDescent="0.3">
      <c r="A38" s="257" t="s">
        <v>65</v>
      </c>
      <c r="B38" s="258">
        <v>130</v>
      </c>
      <c r="C38" s="258">
        <v>7</v>
      </c>
      <c r="D38" s="267" t="s">
        <v>53</v>
      </c>
      <c r="E38" s="267">
        <v>2</v>
      </c>
      <c r="F38" s="259">
        <v>4</v>
      </c>
      <c r="G38" s="268">
        <v>103.33</v>
      </c>
      <c r="H38" s="259">
        <v>14.98</v>
      </c>
      <c r="I38" s="269">
        <v>6.4</v>
      </c>
      <c r="J38" s="292">
        <v>1</v>
      </c>
      <c r="K38" s="261">
        <f t="shared" si="19"/>
        <v>1943710.4998399997</v>
      </c>
      <c r="L38" s="267" t="s">
        <v>54</v>
      </c>
      <c r="M38" s="261">
        <f t="shared" si="20"/>
        <v>1943710.4998399997</v>
      </c>
      <c r="N38" s="261">
        <f t="shared" si="21"/>
        <v>1643710.4998399997</v>
      </c>
      <c r="O38" s="261">
        <f t="shared" si="22"/>
        <v>2009796.6568345597</v>
      </c>
      <c r="P38" s="261">
        <f t="shared" si="23"/>
        <v>366086.15699456003</v>
      </c>
      <c r="Q38" s="261">
        <f t="shared" si="24"/>
        <v>1643710.4998399997</v>
      </c>
      <c r="R38" s="78" t="s">
        <v>55</v>
      </c>
      <c r="S38" s="293">
        <v>3</v>
      </c>
      <c r="T38" s="263">
        <f t="shared" si="13"/>
        <v>14.98</v>
      </c>
      <c r="U38" s="263">
        <f t="shared" si="14"/>
        <v>0</v>
      </c>
      <c r="V38" s="263">
        <f t="shared" si="15"/>
        <v>0</v>
      </c>
      <c r="W38" s="263">
        <f t="shared" si="16"/>
        <v>0</v>
      </c>
      <c r="X38" s="261">
        <f t="shared" si="17"/>
        <v>388742.09996799997</v>
      </c>
      <c r="Y38" s="265">
        <f t="shared" si="18"/>
        <v>300000</v>
      </c>
      <c r="Z38" s="254">
        <f t="array" ref="Z38">_xlfn.IFS(AND(F38=3,G38&gt;90),(90*1)+((G38-90)*0.85),AND(F38=3.5,G38&gt;100),(100*1)+((G38-100)*0.85),AND(F38=4,G38&gt;110),(110*1)+((G38-110)*0.85),AND(F38=4.5,G38&gt;120),(120*1)+((G38-120)*0.85),AND(F38=5,G38&gt;125),(125*1)+((G38-125)*0.85),AND(F38=5.5,G38&gt;135),(135*1)+((G38-135)*0.85),AND(F38=6,G38&gt;145),(145*1)+((G38-145)*0.85),TRUE(),G38)</f>
        <v>103.33</v>
      </c>
      <c r="AA38" s="255">
        <v>0</v>
      </c>
      <c r="AC38" s="256" t="s">
        <v>111</v>
      </c>
      <c r="AD38" s="258">
        <v>7</v>
      </c>
      <c r="AE38" s="257" t="s">
        <v>65</v>
      </c>
    </row>
    <row r="39" spans="1:31" s="222" customFormat="1" ht="15.6" x14ac:dyDescent="0.3">
      <c r="A39" s="257" t="s">
        <v>65</v>
      </c>
      <c r="B39" s="258">
        <v>130</v>
      </c>
      <c r="C39" s="258">
        <v>8</v>
      </c>
      <c r="D39" s="259" t="s">
        <v>105</v>
      </c>
      <c r="E39" s="259">
        <v>2</v>
      </c>
      <c r="F39" s="259">
        <v>5</v>
      </c>
      <c r="G39" s="259">
        <v>119.71</v>
      </c>
      <c r="H39" s="259">
        <v>14.96</v>
      </c>
      <c r="I39" s="260">
        <v>5.87</v>
      </c>
      <c r="J39" s="292">
        <v>2</v>
      </c>
      <c r="K39" s="261">
        <f t="shared" si="19"/>
        <v>2257827.0119599998</v>
      </c>
      <c r="L39" s="267" t="s">
        <v>54</v>
      </c>
      <c r="M39" s="261">
        <f t="shared" si="20"/>
        <v>2257827.0119599998</v>
      </c>
      <c r="N39" s="261">
        <f t="shared" si="21"/>
        <v>1957827.0119599998</v>
      </c>
      <c r="O39" s="261">
        <f t="shared" si="22"/>
        <v>2334593.1303666397</v>
      </c>
      <c r="P39" s="261">
        <f t="shared" si="23"/>
        <v>376766.1184066399</v>
      </c>
      <c r="Q39" s="261">
        <f t="shared" si="24"/>
        <v>1957827.0119599998</v>
      </c>
      <c r="R39" s="78" t="s">
        <v>55</v>
      </c>
      <c r="S39" s="293">
        <v>5</v>
      </c>
      <c r="T39" s="263">
        <f t="shared" si="13"/>
        <v>14.96</v>
      </c>
      <c r="U39" s="263">
        <f t="shared" si="14"/>
        <v>0</v>
      </c>
      <c r="V39" s="263">
        <f t="shared" si="15"/>
        <v>0</v>
      </c>
      <c r="W39" s="263">
        <f t="shared" si="16"/>
        <v>0</v>
      </c>
      <c r="X39" s="261">
        <f t="shared" si="17"/>
        <v>451565.40239199996</v>
      </c>
      <c r="Y39" s="265">
        <f t="shared" si="18"/>
        <v>300000</v>
      </c>
      <c r="Z39" s="254">
        <f t="array" ref="Z39">_xlfn.IFS(AND(F39=3,G39&gt;90),(90*1)+((G39-90)*0.85),AND(F39=3.5,G39&gt;100),(100*1)+((G39-100)*0.85),AND(F39=4,G39&gt;110),(110*1)+((G39-110)*0.85),AND(F39=4.5,G39&gt;120),(120*1)+((G39-120)*0.85),AND(F39=5,G39&gt;125),(125*1)+((G39-125)*0.85),AND(F39=5.5,G39&gt;135),(135*1)+((G39-135)*0.85),AND(F39=6,G39&gt;145),(145*1)+((G39-145)*0.85),TRUE(),G39)</f>
        <v>119.71</v>
      </c>
      <c r="AA39" s="255">
        <v>0</v>
      </c>
      <c r="AC39" s="256" t="s">
        <v>113</v>
      </c>
      <c r="AD39" s="258">
        <v>8</v>
      </c>
      <c r="AE39" s="257" t="s">
        <v>65</v>
      </c>
    </row>
    <row r="40" spans="1:31" s="222" customFormat="1" ht="14.25" customHeight="1" x14ac:dyDescent="0.3">
      <c r="A40" s="257" t="s">
        <v>65</v>
      </c>
      <c r="B40" s="258">
        <v>130</v>
      </c>
      <c r="C40" s="258">
        <v>9</v>
      </c>
      <c r="D40" s="267" t="s">
        <v>57</v>
      </c>
      <c r="E40" s="267">
        <v>3</v>
      </c>
      <c r="F40" s="259">
        <v>3</v>
      </c>
      <c r="G40" s="268">
        <v>79.989999999999995</v>
      </c>
      <c r="H40" s="259">
        <v>11.98</v>
      </c>
      <c r="I40" s="269">
        <v>5.87</v>
      </c>
      <c r="J40" s="292">
        <v>1</v>
      </c>
      <c r="K40" s="261">
        <f t="shared" si="19"/>
        <v>1520806.8023199996</v>
      </c>
      <c r="L40" s="267" t="s">
        <v>54</v>
      </c>
      <c r="M40" s="261">
        <f t="shared" si="20"/>
        <v>1520806.8023199996</v>
      </c>
      <c r="N40" s="261">
        <f t="shared" si="21"/>
        <v>1220806.8023199996</v>
      </c>
      <c r="O40" s="261">
        <f t="shared" si="22"/>
        <v>1572514.2335988795</v>
      </c>
      <c r="P40" s="261">
        <f t="shared" si="23"/>
        <v>351707.43127887999</v>
      </c>
      <c r="Q40" s="261">
        <f t="shared" si="24"/>
        <v>1220806.8023199996</v>
      </c>
      <c r="R40" s="78" t="s">
        <v>55</v>
      </c>
      <c r="S40" s="293">
        <v>6</v>
      </c>
      <c r="T40" s="263">
        <f t="shared" si="13"/>
        <v>11.98</v>
      </c>
      <c r="U40" s="263">
        <f t="shared" si="14"/>
        <v>0</v>
      </c>
      <c r="V40" s="263">
        <f t="shared" si="15"/>
        <v>0</v>
      </c>
      <c r="W40" s="263">
        <f t="shared" si="16"/>
        <v>0</v>
      </c>
      <c r="X40" s="261">
        <f t="shared" si="17"/>
        <v>304161.36046399991</v>
      </c>
      <c r="Y40" s="265">
        <f t="shared" si="18"/>
        <v>300000</v>
      </c>
      <c r="Z40" s="254">
        <f t="array" ref="Z40">_xlfn.IFS(AND(F40=3,G40&gt;90),(90*1)+((G40-90)*0.85),AND(F40=3.5,G40&gt;100),(100*1)+((G40-100)*0.85),AND(F40=4,G40&gt;110),(110*1)+((G40-110)*0.85),AND(F40=4.5,G40&gt;120),(120*1)+((G40-120)*0.85),AND(F40=5,G40&gt;125),(125*1)+((G40-125)*0.85),AND(F40=5.5,G40&gt;135),(135*1)+((G40-135)*0.85),AND(F40=6,G40&gt;145),(145*1)+((G40-145)*0.85),TRUE(),G40)</f>
        <v>79.989999999999995</v>
      </c>
      <c r="AA40" s="255">
        <v>0</v>
      </c>
      <c r="AC40" s="256" t="s">
        <v>103</v>
      </c>
      <c r="AD40" s="258">
        <v>9</v>
      </c>
      <c r="AE40" s="257" t="s">
        <v>65</v>
      </c>
    </row>
    <row r="41" spans="1:31" s="222" customFormat="1" ht="14.25" customHeight="1" x14ac:dyDescent="0.3">
      <c r="A41" s="257" t="s">
        <v>65</v>
      </c>
      <c r="B41" s="258">
        <v>130</v>
      </c>
      <c r="C41" s="258">
        <v>10</v>
      </c>
      <c r="D41" s="267" t="s">
        <v>53</v>
      </c>
      <c r="E41" s="267">
        <v>3</v>
      </c>
      <c r="F41" s="259">
        <v>4</v>
      </c>
      <c r="G41" s="268">
        <v>103.33</v>
      </c>
      <c r="H41" s="259">
        <v>14.98</v>
      </c>
      <c r="I41" s="269">
        <v>7.09</v>
      </c>
      <c r="J41" s="292">
        <v>1</v>
      </c>
      <c r="K41" s="261">
        <f t="shared" si="19"/>
        <v>1948483.9915999998</v>
      </c>
      <c r="L41" s="267" t="s">
        <v>54</v>
      </c>
      <c r="M41" s="261">
        <f t="shared" si="20"/>
        <v>1948483.9915999998</v>
      </c>
      <c r="N41" s="261">
        <f t="shared" si="21"/>
        <v>1648483.9915999998</v>
      </c>
      <c r="O41" s="261">
        <f t="shared" si="22"/>
        <v>2014732.4473144</v>
      </c>
      <c r="P41" s="261">
        <f t="shared" si="23"/>
        <v>366248.45571440016</v>
      </c>
      <c r="Q41" s="261">
        <f t="shared" si="24"/>
        <v>1648483.9915999998</v>
      </c>
      <c r="R41" s="78" t="s">
        <v>55</v>
      </c>
      <c r="S41" s="293">
        <v>1</v>
      </c>
      <c r="T41" s="263">
        <f t="shared" si="13"/>
        <v>14.98</v>
      </c>
      <c r="U41" s="263">
        <f t="shared" si="14"/>
        <v>0</v>
      </c>
      <c r="V41" s="263">
        <f t="shared" si="15"/>
        <v>0</v>
      </c>
      <c r="W41" s="263">
        <f t="shared" si="16"/>
        <v>0</v>
      </c>
      <c r="X41" s="261">
        <f t="shared" si="17"/>
        <v>389696.79832</v>
      </c>
      <c r="Y41" s="265">
        <f t="shared" si="18"/>
        <v>300000</v>
      </c>
      <c r="Z41" s="254">
        <f t="array" ref="Z41">_xlfn.IFS(AND(F41=3,G41&gt;90),(90*1)+((G41-90)*0.85),AND(F41=3.5,G41&gt;100),(100*1)+((G41-100)*0.85),AND(F41=4,G41&gt;110),(110*1)+((G41-110)*0.85),AND(F41=4.5,G41&gt;120),(120*1)+((G41-120)*0.85),AND(F41=5,G41&gt;125),(125*1)+((G41-125)*0.85),AND(F41=5.5,G41&gt;135),(135*1)+((G41-135)*0.85),AND(F41=6,G41&gt;145),(145*1)+((G41-145)*0.85),TRUE(),G41)</f>
        <v>103.33</v>
      </c>
      <c r="AA41" s="255">
        <v>0</v>
      </c>
      <c r="AC41" s="256" t="s">
        <v>111</v>
      </c>
      <c r="AD41" s="258">
        <v>10</v>
      </c>
      <c r="AE41" s="257" t="s">
        <v>65</v>
      </c>
    </row>
    <row r="42" spans="1:31" s="302" customFormat="1" ht="15.6" x14ac:dyDescent="0.3">
      <c r="A42" s="257" t="s">
        <v>65</v>
      </c>
      <c r="B42" s="294">
        <v>130</v>
      </c>
      <c r="C42" s="294">
        <v>11</v>
      </c>
      <c r="D42" s="260" t="s">
        <v>105</v>
      </c>
      <c r="E42" s="260">
        <v>3</v>
      </c>
      <c r="F42" s="260">
        <v>5</v>
      </c>
      <c r="G42" s="260">
        <v>119.71</v>
      </c>
      <c r="H42" s="260">
        <v>14.96</v>
      </c>
      <c r="I42" s="260">
        <v>5.87</v>
      </c>
      <c r="J42" s="296">
        <v>2</v>
      </c>
      <c r="K42" s="297">
        <f t="shared" si="19"/>
        <v>2257827.0119599998</v>
      </c>
      <c r="L42" s="295" t="s">
        <v>54</v>
      </c>
      <c r="M42" s="297">
        <f t="shared" si="20"/>
        <v>2257827.0119599998</v>
      </c>
      <c r="N42" s="297">
        <f t="shared" si="21"/>
        <v>1957827.0119599998</v>
      </c>
      <c r="O42" s="297">
        <f t="shared" si="22"/>
        <v>2334593.1303666397</v>
      </c>
      <c r="P42" s="297">
        <f t="shared" si="23"/>
        <v>376766.1184066399</v>
      </c>
      <c r="Q42" s="297">
        <f t="shared" si="24"/>
        <v>1957827.0119599998</v>
      </c>
      <c r="R42" s="78" t="s">
        <v>115</v>
      </c>
      <c r="S42" s="293">
        <v>21</v>
      </c>
      <c r="T42" s="298">
        <f t="shared" si="13"/>
        <v>14.96</v>
      </c>
      <c r="U42" s="298">
        <f t="shared" si="14"/>
        <v>0</v>
      </c>
      <c r="V42" s="298">
        <f t="shared" si="15"/>
        <v>0</v>
      </c>
      <c r="W42" s="298">
        <f t="shared" si="16"/>
        <v>0</v>
      </c>
      <c r="X42" s="297">
        <f t="shared" si="17"/>
        <v>451565.40239199996</v>
      </c>
      <c r="Y42" s="299">
        <f t="shared" si="18"/>
        <v>300000</v>
      </c>
      <c r="Z42" s="300">
        <f t="array" ref="Z42">_xlfn.IFS(AND(F42=3,G42&gt;90),(90*1)+((G42-90)*0.85),AND(F42=3.5,G42&gt;100),(100*1)+((G42-100)*0.85),AND(F42=4,G42&gt;110),(110*1)+((G42-110)*0.85),AND(F42=4.5,G42&gt;120),(120*1)+((G42-120)*0.85),AND(F42=5,G42&gt;125),(125*1)+((G42-125)*0.85),AND(F42=5.5,G42&gt;135),(135*1)+((G42-135)*0.85),AND(F42=6,G42&gt;145),(145*1)+((G42-145)*0.85),TRUE(),G42)</f>
        <v>119.71</v>
      </c>
      <c r="AA42" s="301">
        <v>0</v>
      </c>
      <c r="AC42" s="303" t="s">
        <v>113</v>
      </c>
      <c r="AD42" s="294">
        <v>11</v>
      </c>
      <c r="AE42" s="257" t="s">
        <v>65</v>
      </c>
    </row>
    <row r="43" spans="1:31" s="222" customFormat="1" ht="14.25" customHeight="1" x14ac:dyDescent="0.3">
      <c r="A43" s="257" t="s">
        <v>65</v>
      </c>
      <c r="B43" s="258">
        <v>130</v>
      </c>
      <c r="C43" s="258">
        <v>12</v>
      </c>
      <c r="D43" s="267" t="s">
        <v>116</v>
      </c>
      <c r="E43" s="267">
        <v>4</v>
      </c>
      <c r="F43" s="259">
        <v>3</v>
      </c>
      <c r="G43" s="268">
        <v>79.989999999999995</v>
      </c>
      <c r="H43" s="259">
        <v>11.98</v>
      </c>
      <c r="I43" s="269">
        <v>5.87</v>
      </c>
      <c r="J43" s="292">
        <v>1</v>
      </c>
      <c r="K43" s="261"/>
      <c r="L43" s="267" t="s">
        <v>47</v>
      </c>
      <c r="M43" s="261"/>
      <c r="N43" s="261"/>
      <c r="O43" s="261"/>
      <c r="P43" s="261"/>
      <c r="Q43" s="261"/>
      <c r="R43" s="78" t="s">
        <v>58</v>
      </c>
      <c r="S43" s="293">
        <v>35</v>
      </c>
      <c r="T43" s="263">
        <f t="shared" si="13"/>
        <v>11.98</v>
      </c>
      <c r="U43" s="263">
        <f t="shared" si="14"/>
        <v>0</v>
      </c>
      <c r="V43" s="263">
        <f t="shared" si="15"/>
        <v>0</v>
      </c>
      <c r="W43" s="263">
        <f t="shared" si="16"/>
        <v>0</v>
      </c>
      <c r="X43" s="261">
        <f t="shared" si="17"/>
        <v>0</v>
      </c>
      <c r="Y43" s="265">
        <f t="shared" si="18"/>
        <v>0</v>
      </c>
      <c r="Z43" s="254">
        <f t="array" ref="Z43">_xlfn.IFS(AND(F43=3,G43&gt;90),(90*1)+((G43-90)*0.85),AND(F43=3.5,G43&gt;100),(100*1)+((G43-100)*0.85),AND(F43=4,G43&gt;110),(110*1)+((G43-110)*0.85),AND(F43=4.5,G43&gt;120),(120*1)+((G43-120)*0.85),AND(F43=5,G43&gt;125),(125*1)+((G43-125)*0.85),AND(F43=5.5,G43&gt;135),(135*1)+((G43-135)*0.85),AND(F43=6,G43&gt;145),(145*1)+((G43-145)*0.85),TRUE(),G43)</f>
        <v>79.989999999999995</v>
      </c>
      <c r="AA43" s="255">
        <v>0</v>
      </c>
      <c r="AC43" s="256" t="s">
        <v>103</v>
      </c>
      <c r="AD43" s="258">
        <v>12</v>
      </c>
      <c r="AE43" s="257" t="s">
        <v>65</v>
      </c>
    </row>
    <row r="44" spans="1:31" s="222" customFormat="1" ht="15.75" customHeight="1" x14ac:dyDescent="0.3">
      <c r="A44" s="257" t="s">
        <v>65</v>
      </c>
      <c r="B44" s="258">
        <v>130</v>
      </c>
      <c r="C44" s="258">
        <v>13</v>
      </c>
      <c r="D44" s="267" t="s">
        <v>53</v>
      </c>
      <c r="E44" s="267">
        <v>4</v>
      </c>
      <c r="F44" s="259">
        <v>4</v>
      </c>
      <c r="G44" s="268">
        <v>103.33</v>
      </c>
      <c r="H44" s="259">
        <v>14.98</v>
      </c>
      <c r="I44" s="269">
        <v>5.87</v>
      </c>
      <c r="J44" s="292">
        <v>1</v>
      </c>
      <c r="K44" s="261">
        <f>(SUMPRODUCT(H44:J44,$H$9:$J$9)+$G$9*Z44+SUMPRODUCT(T44:W44,$T$9:$W$9))*$I$5</f>
        <v>1940043.9047199998</v>
      </c>
      <c r="L44" s="267" t="s">
        <v>54</v>
      </c>
      <c r="M44" s="261">
        <f t="shared" si="20"/>
        <v>1940043.9047199998</v>
      </c>
      <c r="N44" s="261">
        <f t="shared" si="21"/>
        <v>1640043.9047199998</v>
      </c>
      <c r="O44" s="261">
        <f t="shared" si="22"/>
        <v>2006005.3974804799</v>
      </c>
      <c r="P44" s="261">
        <f t="shared" si="23"/>
        <v>365961.49276048015</v>
      </c>
      <c r="Q44" s="261">
        <f t="shared" si="24"/>
        <v>1640043.9047199998</v>
      </c>
      <c r="R44" s="78" t="s">
        <v>52</v>
      </c>
      <c r="S44" s="293">
        <v>22</v>
      </c>
      <c r="T44" s="263">
        <f t="shared" si="13"/>
        <v>14.98</v>
      </c>
      <c r="U44" s="263">
        <f t="shared" si="14"/>
        <v>0</v>
      </c>
      <c r="V44" s="263">
        <f t="shared" si="15"/>
        <v>0</v>
      </c>
      <c r="W44" s="263">
        <f t="shared" si="16"/>
        <v>0</v>
      </c>
      <c r="X44" s="261">
        <f t="shared" si="17"/>
        <v>388008.780944</v>
      </c>
      <c r="Y44" s="265">
        <f t="shared" si="18"/>
        <v>300000</v>
      </c>
      <c r="Z44" s="254">
        <f t="array" ref="Z44">_xlfn.IFS(AND(F44=3,G44&gt;90),(90*1)+((G44-90)*0.85),AND(F44=3.5,G44&gt;100),(100*1)+((G44-100)*0.85),AND(F44=4,G44&gt;110),(110*1)+((G44-110)*0.85),AND(F44=4.5,G44&gt;120),(120*1)+((G44-120)*0.85),AND(F44=5,G44&gt;125),(125*1)+((G44-125)*0.85),AND(F44=5.5,G44&gt;135),(135*1)+((G44-135)*0.85),AND(F44=6,G44&gt;145),(145*1)+((G44-145)*0.85),TRUE(),G44)</f>
        <v>103.33</v>
      </c>
      <c r="AA44" s="255">
        <v>0</v>
      </c>
      <c r="AC44" s="256" t="s">
        <v>111</v>
      </c>
      <c r="AD44" s="258">
        <v>13</v>
      </c>
      <c r="AE44" s="257" t="s">
        <v>65</v>
      </c>
    </row>
    <row r="45" spans="1:31" s="222" customFormat="1" ht="14.25" customHeight="1" x14ac:dyDescent="0.3">
      <c r="A45" s="257" t="s">
        <v>65</v>
      </c>
      <c r="B45" s="258">
        <v>130</v>
      </c>
      <c r="C45" s="258">
        <v>14</v>
      </c>
      <c r="D45" s="259" t="s">
        <v>56</v>
      </c>
      <c r="E45" s="259">
        <v>4</v>
      </c>
      <c r="F45" s="259">
        <v>5</v>
      </c>
      <c r="G45" s="259">
        <v>119.71</v>
      </c>
      <c r="H45" s="259">
        <v>14.96</v>
      </c>
      <c r="I45" s="260">
        <v>5.87</v>
      </c>
      <c r="J45" s="292">
        <v>2</v>
      </c>
      <c r="K45" s="261"/>
      <c r="L45" s="267" t="s">
        <v>47</v>
      </c>
      <c r="M45" s="261"/>
      <c r="N45" s="261"/>
      <c r="O45" s="261"/>
      <c r="P45" s="261"/>
      <c r="Q45" s="261"/>
      <c r="R45" s="78" t="s">
        <v>52</v>
      </c>
      <c r="S45" s="293">
        <v>39</v>
      </c>
      <c r="T45" s="263">
        <f t="shared" si="13"/>
        <v>14.96</v>
      </c>
      <c r="U45" s="263">
        <f t="shared" si="14"/>
        <v>0</v>
      </c>
      <c r="V45" s="263">
        <f t="shared" si="15"/>
        <v>0</v>
      </c>
      <c r="W45" s="263">
        <f t="shared" si="16"/>
        <v>0</v>
      </c>
      <c r="X45" s="261">
        <f t="shared" si="17"/>
        <v>0</v>
      </c>
      <c r="Y45" s="265">
        <f t="shared" si="18"/>
        <v>0</v>
      </c>
      <c r="Z45" s="254">
        <f t="array" ref="Z45">_xlfn.IFS(AND(F45=3,G45&gt;90),(90*1)+((G45-90)*0.85),AND(F45=3.5,G45&gt;100),(100*1)+((G45-100)*0.85),AND(F45=4,G45&gt;110),(110*1)+((G45-110)*0.85),AND(F45=4.5,G45&gt;120),(120*1)+((G45-120)*0.85),AND(F45=5,G45&gt;125),(125*1)+((G45-125)*0.85),AND(F45=5.5,G45&gt;135),(135*1)+((G45-135)*0.85),AND(F45=6,G45&gt;145),(145*1)+((G45-145)*0.85),TRUE(),G45)</f>
        <v>119.71</v>
      </c>
      <c r="AA45" s="255">
        <v>0</v>
      </c>
      <c r="AC45" s="256" t="s">
        <v>113</v>
      </c>
      <c r="AD45" s="258">
        <v>14</v>
      </c>
      <c r="AE45" s="257" t="s">
        <v>65</v>
      </c>
    </row>
    <row r="46" spans="1:31" s="222" customFormat="1" ht="14.25" customHeight="1" x14ac:dyDescent="0.3">
      <c r="A46" s="257" t="s">
        <v>65</v>
      </c>
      <c r="B46" s="258">
        <v>130</v>
      </c>
      <c r="C46" s="258">
        <v>15</v>
      </c>
      <c r="D46" s="267" t="s">
        <v>106</v>
      </c>
      <c r="E46" s="267">
        <v>5</v>
      </c>
      <c r="F46" s="259">
        <v>3</v>
      </c>
      <c r="G46" s="268">
        <v>79.989999999999995</v>
      </c>
      <c r="H46" s="259">
        <v>11.98</v>
      </c>
      <c r="I46" s="269">
        <v>6.4</v>
      </c>
      <c r="J46" s="292">
        <v>1</v>
      </c>
      <c r="K46" s="261"/>
      <c r="L46" s="267" t="s">
        <v>47</v>
      </c>
      <c r="M46" s="261"/>
      <c r="N46" s="261"/>
      <c r="O46" s="261"/>
      <c r="P46" s="261"/>
      <c r="Q46" s="261"/>
      <c r="R46" s="112" t="s">
        <v>52</v>
      </c>
      <c r="S46" s="304">
        <v>19</v>
      </c>
      <c r="T46" s="263">
        <f t="shared" si="13"/>
        <v>11.98</v>
      </c>
      <c r="U46" s="263">
        <f t="shared" si="14"/>
        <v>0</v>
      </c>
      <c r="V46" s="263">
        <f t="shared" si="15"/>
        <v>0</v>
      </c>
      <c r="W46" s="263">
        <f t="shared" si="16"/>
        <v>0</v>
      </c>
      <c r="X46" s="261">
        <f t="shared" si="17"/>
        <v>0</v>
      </c>
      <c r="Y46" s="265">
        <f t="shared" si="18"/>
        <v>0</v>
      </c>
      <c r="Z46" s="254">
        <f t="array" ref="Z46">_xlfn.IFS(AND(F46=3,G46&gt;90),(90*1)+((G46-90)*0.85),AND(F46=3.5,G46&gt;100),(100*1)+((G46-100)*0.85),AND(F46=4,G46&gt;110),(110*1)+((G46-110)*0.85),AND(F46=4.5,G46&gt;120),(120*1)+((G46-120)*0.85),AND(F46=5,G46&gt;125),(125*1)+((G46-125)*0.85),AND(F46=5.5,G46&gt;135),(135*1)+((G46-135)*0.85),AND(F46=6,G46&gt;145),(145*1)+((G46-145)*0.85),TRUE(),G46)</f>
        <v>79.989999999999995</v>
      </c>
      <c r="AA46" s="255">
        <v>0</v>
      </c>
      <c r="AC46" s="256" t="s">
        <v>103</v>
      </c>
      <c r="AD46" s="258">
        <v>15</v>
      </c>
      <c r="AE46" s="257" t="s">
        <v>65</v>
      </c>
    </row>
    <row r="47" spans="1:31" s="222" customFormat="1" ht="14.25" customHeight="1" x14ac:dyDescent="0.3">
      <c r="A47" s="257" t="s">
        <v>65</v>
      </c>
      <c r="B47" s="258">
        <v>130</v>
      </c>
      <c r="C47" s="258">
        <v>16</v>
      </c>
      <c r="D47" s="267" t="s">
        <v>107</v>
      </c>
      <c r="E47" s="267">
        <v>5</v>
      </c>
      <c r="F47" s="259">
        <v>4</v>
      </c>
      <c r="G47" s="268">
        <v>103.33</v>
      </c>
      <c r="H47" s="259">
        <v>14.98</v>
      </c>
      <c r="I47" s="269">
        <v>7.09</v>
      </c>
      <c r="J47" s="292">
        <v>1</v>
      </c>
      <c r="K47" s="261"/>
      <c r="L47" s="267" t="s">
        <v>47</v>
      </c>
      <c r="M47" s="261"/>
      <c r="N47" s="261"/>
      <c r="O47" s="261"/>
      <c r="P47" s="261"/>
      <c r="Q47" s="261"/>
      <c r="R47" s="112" t="s">
        <v>52</v>
      </c>
      <c r="S47" s="304">
        <v>17</v>
      </c>
      <c r="T47" s="263">
        <f t="shared" si="13"/>
        <v>14.98</v>
      </c>
      <c r="U47" s="263">
        <f t="shared" si="14"/>
        <v>0</v>
      </c>
      <c r="V47" s="263">
        <f t="shared" si="15"/>
        <v>0</v>
      </c>
      <c r="W47" s="263">
        <f t="shared" si="16"/>
        <v>0</v>
      </c>
      <c r="X47" s="261">
        <f t="shared" si="17"/>
        <v>0</v>
      </c>
      <c r="Y47" s="265">
        <f t="shared" si="18"/>
        <v>0</v>
      </c>
      <c r="Z47" s="254">
        <f t="array" ref="Z47">_xlfn.IFS(AND(F47=3,G47&gt;90),(90*1)+((G47-90)*0.85),AND(F47=3.5,G47&gt;100),(100*1)+((G47-100)*0.85),AND(F47=4,G47&gt;110),(110*1)+((G47-110)*0.85),AND(F47=4.5,G47&gt;120),(120*1)+((G47-120)*0.85),AND(F47=5,G47&gt;125),(125*1)+((G47-125)*0.85),AND(F47=5.5,G47&gt;135),(135*1)+((G47-135)*0.85),AND(F47=6,G47&gt;145),(145*1)+((G47-145)*0.85),TRUE(),G47)</f>
        <v>103.33</v>
      </c>
      <c r="AA47" s="255">
        <v>0</v>
      </c>
      <c r="AC47" s="256" t="s">
        <v>111</v>
      </c>
      <c r="AD47" s="258">
        <v>16</v>
      </c>
      <c r="AE47" s="257" t="s">
        <v>65</v>
      </c>
    </row>
    <row r="48" spans="1:31" s="222" customFormat="1" ht="14.25" customHeight="1" x14ac:dyDescent="0.3">
      <c r="A48" s="257" t="s">
        <v>65</v>
      </c>
      <c r="B48" s="258">
        <v>130</v>
      </c>
      <c r="C48" s="258">
        <v>17</v>
      </c>
      <c r="D48" s="267" t="s">
        <v>108</v>
      </c>
      <c r="E48" s="267">
        <v>5</v>
      </c>
      <c r="F48" s="259">
        <v>4</v>
      </c>
      <c r="G48" s="268">
        <v>104.09</v>
      </c>
      <c r="H48" s="259">
        <v>29.91</v>
      </c>
      <c r="I48" s="269">
        <v>5.87</v>
      </c>
      <c r="J48" s="292">
        <v>1</v>
      </c>
      <c r="K48" s="261"/>
      <c r="L48" s="259" t="s">
        <v>47</v>
      </c>
      <c r="M48" s="261"/>
      <c r="N48" s="261"/>
      <c r="O48" s="261"/>
      <c r="P48" s="261"/>
      <c r="Q48" s="261"/>
      <c r="R48" s="112" t="s">
        <v>55</v>
      </c>
      <c r="S48" s="304">
        <v>40</v>
      </c>
      <c r="T48" s="263">
        <f t="shared" si="13"/>
        <v>29.91</v>
      </c>
      <c r="U48" s="263">
        <f t="shared" si="14"/>
        <v>0</v>
      </c>
      <c r="V48" s="263">
        <f t="shared" si="15"/>
        <v>0</v>
      </c>
      <c r="W48" s="263">
        <f t="shared" si="16"/>
        <v>0</v>
      </c>
      <c r="X48" s="261">
        <f t="shared" si="17"/>
        <v>0</v>
      </c>
      <c r="Y48" s="265">
        <f t="shared" si="18"/>
        <v>0</v>
      </c>
      <c r="Z48" s="254">
        <f t="array" ref="Z48">_xlfn.IFS(AND(F48=3,G48&gt;90),(90*1)+((G48-90)*0.85),AND(F48=3.5,G48&gt;100),(100*1)+((G48-100)*0.85),AND(F48=4,G48&gt;110),(110*1)+((G48-110)*0.85),AND(F48=4.5,G48&gt;120),(120*1)+((G48-120)*0.85),AND(F48=5,G48&gt;125),(125*1)+((G48-125)*0.85),AND(F48=5.5,G48&gt;135),(135*1)+((G48-135)*0.85),AND(F48=6,G48&gt;145),(145*1)+((G48-145)*0.85),TRUE(),G48)</f>
        <v>104.09</v>
      </c>
      <c r="AA48" s="255">
        <v>0</v>
      </c>
      <c r="AC48" s="256" t="s">
        <v>113</v>
      </c>
      <c r="AD48" s="258">
        <v>17</v>
      </c>
      <c r="AE48" s="257" t="s">
        <v>65</v>
      </c>
    </row>
    <row r="49" spans="1:31" s="222" customFormat="1" ht="14.25" customHeight="1" x14ac:dyDescent="0.3">
      <c r="A49" s="257" t="s">
        <v>65</v>
      </c>
      <c r="B49" s="258">
        <v>130</v>
      </c>
      <c r="C49" s="258">
        <v>18</v>
      </c>
      <c r="D49" s="259" t="s">
        <v>62</v>
      </c>
      <c r="E49" s="259">
        <v>6</v>
      </c>
      <c r="F49" s="259">
        <v>5</v>
      </c>
      <c r="G49" s="259">
        <v>130.96</v>
      </c>
      <c r="H49" s="259">
        <v>58.96</v>
      </c>
      <c r="I49" s="305">
        <v>11.05</v>
      </c>
      <c r="J49" s="292">
        <v>2</v>
      </c>
      <c r="K49" s="261"/>
      <c r="L49" s="259" t="s">
        <v>47</v>
      </c>
      <c r="M49" s="261"/>
      <c r="N49" s="261"/>
      <c r="O49" s="261"/>
      <c r="P49" s="261"/>
      <c r="Q49" s="261"/>
      <c r="R49" s="112" t="s">
        <v>52</v>
      </c>
      <c r="S49" s="304">
        <v>20</v>
      </c>
      <c r="T49" s="263">
        <f t="shared" si="13"/>
        <v>30</v>
      </c>
      <c r="U49" s="263">
        <f t="shared" si="14"/>
        <v>28.96</v>
      </c>
      <c r="V49" s="263">
        <f t="shared" si="15"/>
        <v>0</v>
      </c>
      <c r="W49" s="263">
        <f t="shared" si="16"/>
        <v>0</v>
      </c>
      <c r="X49" s="261">
        <f t="shared" si="17"/>
        <v>0</v>
      </c>
      <c r="Y49" s="265">
        <f t="shared" si="18"/>
        <v>0</v>
      </c>
      <c r="Z49" s="254">
        <f t="array" ref="Z49">_xlfn.IFS(AND(F49=3,G49&gt;90),(90*1)+((G49-90)*0.85),AND(F49=3.5,G49&gt;100),(100*1)+((G49-100)*0.85),AND(F49=4,G49&gt;110),(110*1)+((G49-110)*0.85),AND(F49=4.5,G49&gt;120),(120*1)+((G49-120)*0.85),AND(F49=5,G49&gt;125),(125*1)+((G49-125)*0.85),AND(F49=5.5,G49&gt;135),(135*1)+((G49-135)*0.85),AND(F49=6,G49&gt;145),(145*1)+((G49-145)*0.85),TRUE(),G49)</f>
        <v>130.066</v>
      </c>
      <c r="AA49" s="255">
        <v>0</v>
      </c>
      <c r="AC49" s="256" t="s">
        <v>117</v>
      </c>
      <c r="AD49" s="258">
        <v>18</v>
      </c>
      <c r="AE49" s="257" t="s">
        <v>65</v>
      </c>
    </row>
    <row r="50" spans="1:31" s="222" customFormat="1" ht="14.25" customHeight="1" x14ac:dyDescent="0.3">
      <c r="A50" s="257" t="s">
        <v>65</v>
      </c>
      <c r="B50" s="258">
        <v>130</v>
      </c>
      <c r="C50" s="258">
        <v>19</v>
      </c>
      <c r="D50" s="267" t="s">
        <v>63</v>
      </c>
      <c r="E50" s="267">
        <v>6</v>
      </c>
      <c r="F50" s="259">
        <v>4</v>
      </c>
      <c r="G50" s="268">
        <v>104.09</v>
      </c>
      <c r="H50" s="259">
        <v>14.96</v>
      </c>
      <c r="I50" s="269">
        <v>7.84</v>
      </c>
      <c r="J50" s="292">
        <v>2</v>
      </c>
      <c r="K50" s="261">
        <f>(SUMPRODUCT(H50:J50,$H$9:$J$9)+$G$9*Z50+SUMPRODUCT(T50:W50,$T$9:$W$9))*$I$5</f>
        <v>2001303.7156399998</v>
      </c>
      <c r="L50" s="267" t="s">
        <v>54</v>
      </c>
      <c r="M50" s="261">
        <f t="shared" si="20"/>
        <v>2001303.7156399998</v>
      </c>
      <c r="N50" s="261">
        <f t="shared" si="21"/>
        <v>1701303.7156399998</v>
      </c>
      <c r="O50" s="261">
        <f t="shared" si="22"/>
        <v>2069348.0419717599</v>
      </c>
      <c r="P50" s="261">
        <f t="shared" si="23"/>
        <v>368044.32633176004</v>
      </c>
      <c r="Q50" s="261">
        <f t="shared" si="24"/>
        <v>1701303.7156399998</v>
      </c>
      <c r="R50" s="112" t="s">
        <v>55</v>
      </c>
      <c r="S50" s="304">
        <v>9</v>
      </c>
      <c r="T50" s="263">
        <f t="shared" si="13"/>
        <v>14.96</v>
      </c>
      <c r="U50" s="263">
        <f t="shared" si="14"/>
        <v>0</v>
      </c>
      <c r="V50" s="263">
        <f t="shared" si="15"/>
        <v>0</v>
      </c>
      <c r="W50" s="263">
        <f t="shared" si="16"/>
        <v>0</v>
      </c>
      <c r="X50" s="261">
        <f t="shared" si="17"/>
        <v>400260.743128</v>
      </c>
      <c r="Y50" s="265">
        <f t="shared" si="18"/>
        <v>300000</v>
      </c>
      <c r="Z50" s="254">
        <f t="array" ref="Z50">_xlfn.IFS(AND(F50=3,G50&gt;90),(90*1)+((G50-90)*0.85),AND(F50=3.5,G50&gt;100),(100*1)+((G50-100)*0.85),AND(F50=4,G50&gt;110),(110*1)+((G50-110)*0.85),AND(F50=4.5,G50&gt;120),(120*1)+((G50-120)*0.85),AND(F50=5,G50&gt;125),(125*1)+((G50-125)*0.85),AND(F50=5.5,G50&gt;135),(135*1)+((G50-135)*0.85),AND(F50=6,G50&gt;145),(145*1)+((G50-145)*0.85),TRUE(),G50)</f>
        <v>104.09</v>
      </c>
      <c r="AA50" s="255">
        <v>0</v>
      </c>
      <c r="AC50" s="256" t="s">
        <v>112</v>
      </c>
      <c r="AD50" s="258">
        <v>19</v>
      </c>
      <c r="AE50" s="257" t="s">
        <v>65</v>
      </c>
    </row>
    <row r="51" spans="1:31" s="222" customFormat="1" ht="15" customHeight="1" thickBot="1" x14ac:dyDescent="0.35">
      <c r="A51" s="270" t="s">
        <v>65</v>
      </c>
      <c r="B51" s="271">
        <v>130</v>
      </c>
      <c r="C51" s="271">
        <v>20</v>
      </c>
      <c r="D51" s="272" t="s">
        <v>64</v>
      </c>
      <c r="E51" s="272">
        <v>7</v>
      </c>
      <c r="F51" s="272">
        <v>6</v>
      </c>
      <c r="G51" s="273">
        <v>174.14</v>
      </c>
      <c r="H51" s="272">
        <v>88.97</v>
      </c>
      <c r="I51" s="306">
        <v>11.05</v>
      </c>
      <c r="J51" s="307">
        <v>2</v>
      </c>
      <c r="K51" s="261"/>
      <c r="L51" s="259" t="s">
        <v>47</v>
      </c>
      <c r="M51" s="275"/>
      <c r="N51" s="275"/>
      <c r="O51" s="275"/>
      <c r="P51" s="275"/>
      <c r="Q51" s="275"/>
      <c r="R51" s="308" t="s">
        <v>58</v>
      </c>
      <c r="S51" s="309">
        <v>33</v>
      </c>
      <c r="T51" s="277">
        <f t="shared" si="13"/>
        <v>30</v>
      </c>
      <c r="U51" s="277">
        <f t="shared" si="14"/>
        <v>30</v>
      </c>
      <c r="V51" s="277">
        <f t="shared" si="15"/>
        <v>28.97</v>
      </c>
      <c r="W51" s="277">
        <f t="shared" si="16"/>
        <v>0</v>
      </c>
      <c r="X51" s="275">
        <f t="shared" si="17"/>
        <v>0</v>
      </c>
      <c r="Y51" s="278">
        <f t="shared" si="18"/>
        <v>0</v>
      </c>
      <c r="Z51" s="254">
        <f t="array" ref="Z51">_xlfn.IFS(AND(F51=3,G51&gt;90),(90*1)+((G51-90)*0.85),AND(F51=3.5,G51&gt;100),(100*1)+((G51-100)*0.85),AND(F51=4,G51&gt;110),(110*1)+((G51-110)*0.85),AND(F51=4.5,G51&gt;120),(120*1)+((G51-120)*0.85),AND(F51=5,G51&gt;125),(125*1)+((G51-125)*0.85),AND(F51=5.5,G51&gt;135),(135*1)+((G51-135)*0.85),AND(F51=6,G51&gt;145),(145*1)+((G51-145)*0.85),TRUE(),G51)</f>
        <v>169.76899999999998</v>
      </c>
      <c r="AA51" s="255">
        <v>0</v>
      </c>
      <c r="AC51" s="256" t="s">
        <v>118</v>
      </c>
      <c r="AD51" s="271">
        <v>20</v>
      </c>
      <c r="AE51" s="270" t="s">
        <v>65</v>
      </c>
    </row>
    <row r="52" spans="1:31" ht="14.25" customHeight="1" thickBot="1" x14ac:dyDescent="0.4">
      <c r="A52" s="310" t="s">
        <v>92</v>
      </c>
      <c r="B52" s="310"/>
      <c r="C52" s="310"/>
      <c r="D52" s="310"/>
      <c r="E52" s="310"/>
      <c r="F52" s="310"/>
      <c r="G52" s="311">
        <f>SUM(G32:G51)/20</f>
        <v>106.62349999999999</v>
      </c>
      <c r="I52" s="312" t="s">
        <v>93</v>
      </c>
      <c r="J52" s="313"/>
      <c r="K52" s="314"/>
      <c r="L52" s="314">
        <f>COUNTIF(L32:L51,"כן")/COUNT(C32:C51)</f>
        <v>0.5</v>
      </c>
      <c r="M52" s="313"/>
      <c r="N52" s="313"/>
      <c r="O52" s="313"/>
      <c r="P52" s="313"/>
      <c r="Q52" s="313"/>
      <c r="R52" s="183"/>
      <c r="S52" s="315"/>
      <c r="T52" s="313"/>
      <c r="U52" s="313"/>
      <c r="V52" s="313"/>
      <c r="W52" s="313"/>
      <c r="X52" s="313"/>
      <c r="Y52" s="313"/>
      <c r="Z52" s="62">
        <f t="array" ref="Z52">_xlfn.IFS(AND(F52=3,G52&gt;90),(90*1)+((G52-90)*0.85),AND(F52=3.5,G52&gt;100),(100*1)+((G52-100)*0.85),AND(F52=4,G52&gt;110),(110*1)+((G52-110)*0.85),AND(F52=4.5,G52&gt;120),(120*1)+((G52-120)*0.85),AND(F52=5,G52&gt;125),(125*1)+((G52-125)*0.85),AND(F52=5.5,G52&gt;135),(135*1)+((G52-135)*0.85),AND(F52=6,G52&gt;145),(145*1)+((G52-145)*0.85),TRUE(),G52)</f>
        <v>106.62349999999999</v>
      </c>
      <c r="AA52" s="316">
        <v>0</v>
      </c>
      <c r="AC52" s="62"/>
      <c r="AD52" s="310"/>
      <c r="AE52" s="310" t="s">
        <v>92</v>
      </c>
    </row>
    <row r="53" spans="1:31" ht="14.25" customHeight="1" x14ac:dyDescent="0.3">
      <c r="A53" s="243" t="s">
        <v>67</v>
      </c>
      <c r="B53" s="53">
        <v>130</v>
      </c>
      <c r="C53" s="53">
        <v>1</v>
      </c>
      <c r="D53" s="133" t="s">
        <v>68</v>
      </c>
      <c r="E53" s="133">
        <v>1</v>
      </c>
      <c r="F53" s="133">
        <v>5</v>
      </c>
      <c r="G53" s="317">
        <v>124.19</v>
      </c>
      <c r="H53" s="317">
        <v>15</v>
      </c>
      <c r="I53" s="318">
        <v>7.25</v>
      </c>
      <c r="J53" s="319">
        <v>1</v>
      </c>
      <c r="K53" s="68">
        <f>(SUMPRODUCT(H53:J53,$H$9:$J$9)+$G$9*Z53+SUMPRODUCT(T53:W53,$T$9:$W$9))*$I$5</f>
        <v>2310473.7834000001</v>
      </c>
      <c r="L53" s="67" t="s">
        <v>54</v>
      </c>
      <c r="M53" s="56">
        <f t="shared" ref="M53:M84" si="25">K53*(1+AA53)</f>
        <v>2194950.0942299999</v>
      </c>
      <c r="N53" s="56">
        <f t="shared" ref="N53:N84" si="26">M53-Y53</f>
        <v>1894950.0942299999</v>
      </c>
      <c r="O53" s="56">
        <f t="shared" ref="O53:O84" si="27">M53*(1+$K$8)</f>
        <v>2269578.3974338202</v>
      </c>
      <c r="P53" s="56">
        <f t="shared" ref="P53:P84" si="28">O53-N53</f>
        <v>374628.30320382025</v>
      </c>
      <c r="Q53" s="56">
        <f t="shared" ref="Q53:Q84" si="29">IF(P53&lt;500000,N53,P53-500000+N53)</f>
        <v>1894950.0942299999</v>
      </c>
      <c r="R53" s="134" t="s">
        <v>69</v>
      </c>
      <c r="S53" s="320">
        <v>1</v>
      </c>
      <c r="T53" s="55">
        <f t="shared" ref="T53:T84" si="30">IF((H53)&gt;30,30,(H53))</f>
        <v>15</v>
      </c>
      <c r="U53" s="55">
        <f t="shared" ref="U53:U84" si="31">IF((H53-T53)&gt;30,30,(H53-T53))</f>
        <v>0</v>
      </c>
      <c r="V53" s="60">
        <f t="shared" ref="V53:V84" si="32">IF((H53)&gt;120,60,(H53-T53-U53))</f>
        <v>0</v>
      </c>
      <c r="W53" s="60">
        <f t="shared" ref="W53:W84" si="33">IF((H53)&gt;120,(H53-120),0)</f>
        <v>0</v>
      </c>
      <c r="X53" s="56">
        <f t="shared" ref="X53:X59" si="34">K53*0.2</f>
        <v>462094.75668000005</v>
      </c>
      <c r="Y53" s="61">
        <f t="shared" ref="Y53:Y84" si="35">IF(X53&gt;300000,300000,X53)</f>
        <v>300000</v>
      </c>
      <c r="Z53" s="62">
        <f t="array" ref="Z53">_xlfn.IFS(AND(F53=3,G53&gt;90),(90*1)+((G53-90)*0.85),AND(F53=3.5,G53&gt;100),(100*1)+((G53-100)*0.85),AND(F53=4,G53&gt;110),(110*1)+((G53-110)*0.85),AND(F53=4.5,G53&gt;120),(120*1)+((G53-120)*0.85),AND(F53=5,G53&gt;125),(125*1)+((G53-125)*0.85),AND(F53=5.5,G53&gt;135),(135*1)+((G53-135)*0.85),AND(F53=6,G53&gt;145),(145*1)+((G53-145)*0.85),TRUE(),G53)</f>
        <v>124.19</v>
      </c>
      <c r="AA53" s="321">
        <v>-0.05</v>
      </c>
      <c r="AC53" s="256" t="s">
        <v>119</v>
      </c>
      <c r="AD53" s="53">
        <v>1</v>
      </c>
      <c r="AE53" s="243" t="s">
        <v>67</v>
      </c>
    </row>
    <row r="54" spans="1:31" ht="14.25" customHeight="1" x14ac:dyDescent="0.3">
      <c r="A54" s="257" t="s">
        <v>67</v>
      </c>
      <c r="B54" s="66">
        <v>130</v>
      </c>
      <c r="C54" s="66">
        <v>2</v>
      </c>
      <c r="D54" s="67" t="s">
        <v>70</v>
      </c>
      <c r="E54" s="67">
        <v>1</v>
      </c>
      <c r="F54" s="67">
        <v>4</v>
      </c>
      <c r="G54" s="259">
        <v>113.37</v>
      </c>
      <c r="H54" s="259">
        <v>19.38</v>
      </c>
      <c r="I54" s="260">
        <v>6.27</v>
      </c>
      <c r="J54" s="323">
        <v>1</v>
      </c>
      <c r="K54" s="68"/>
      <c r="L54" s="79" t="s">
        <v>47</v>
      </c>
      <c r="M54" s="68"/>
      <c r="N54" s="68"/>
      <c r="O54" s="68"/>
      <c r="P54" s="68"/>
      <c r="Q54" s="68"/>
      <c r="R54" s="137" t="s">
        <v>69</v>
      </c>
      <c r="S54" s="324">
        <v>2</v>
      </c>
      <c r="T54" s="72">
        <f t="shared" si="30"/>
        <v>19.38</v>
      </c>
      <c r="U54" s="72">
        <f t="shared" si="31"/>
        <v>0</v>
      </c>
      <c r="V54" s="73">
        <f t="shared" si="32"/>
        <v>0</v>
      </c>
      <c r="W54" s="73">
        <f t="shared" si="33"/>
        <v>0</v>
      </c>
      <c r="X54" s="68">
        <f t="shared" si="34"/>
        <v>0</v>
      </c>
      <c r="Y54" s="74">
        <f t="shared" si="35"/>
        <v>0</v>
      </c>
      <c r="Z54" s="62">
        <f t="array" ref="Z54">_xlfn.IFS(AND(F54=3,G54&gt;90),(90*1)+((G54-90)*0.85),AND(F54=3.5,G54&gt;100),(100*1)+((G54-100)*0.85),AND(F54=4,G54&gt;110),(110*1)+((G54-110)*0.85),AND(F54=4.5,G54&gt;120),(120*1)+((G54-120)*0.85),AND(F54=5,G54&gt;125),(125*1)+((G54-125)*0.85),AND(F54=5.5,G54&gt;135),(135*1)+((G54-135)*0.85),AND(F54=6,G54&gt;145),(145*1)+((G54-145)*0.85),TRUE(),G54)</f>
        <v>112.86450000000001</v>
      </c>
      <c r="AA54" s="316">
        <v>-0.05</v>
      </c>
      <c r="AC54" s="256" t="s">
        <v>101</v>
      </c>
      <c r="AD54" s="66">
        <v>2</v>
      </c>
      <c r="AE54" s="257" t="s">
        <v>67</v>
      </c>
    </row>
    <row r="55" spans="1:31" ht="14.25" customHeight="1" x14ac:dyDescent="0.3">
      <c r="A55" s="257" t="s">
        <v>67</v>
      </c>
      <c r="B55" s="66">
        <v>130</v>
      </c>
      <c r="C55" s="66">
        <v>3</v>
      </c>
      <c r="D55" s="79" t="s">
        <v>71</v>
      </c>
      <c r="E55" s="79">
        <v>1</v>
      </c>
      <c r="F55" s="67">
        <v>4</v>
      </c>
      <c r="G55" s="267">
        <v>103.66</v>
      </c>
      <c r="H55" s="267">
        <v>14.98</v>
      </c>
      <c r="I55" s="295">
        <v>6.72</v>
      </c>
      <c r="J55" s="323">
        <v>1</v>
      </c>
      <c r="K55" s="68">
        <f t="shared" ref="K55:K61" si="36">(SUMPRODUCT(H55:J55,$H$9:$J$9)+$G$9*Z55+SUMPRODUCT(T55:W55,$T$9:$W$9))*$I$5</f>
        <v>1951631.7289199999</v>
      </c>
      <c r="L55" s="79" t="s">
        <v>54</v>
      </c>
      <c r="M55" s="68">
        <f t="shared" si="25"/>
        <v>1854050.1424739999</v>
      </c>
      <c r="N55" s="68">
        <f t="shared" si="26"/>
        <v>1554050.1424739999</v>
      </c>
      <c r="O55" s="68">
        <f t="shared" si="27"/>
        <v>1917087.8473181159</v>
      </c>
      <c r="P55" s="68">
        <f t="shared" si="28"/>
        <v>363037.704844116</v>
      </c>
      <c r="Q55" s="68">
        <f t="shared" si="29"/>
        <v>1554050.1424739999</v>
      </c>
      <c r="R55" s="137" t="s">
        <v>69</v>
      </c>
      <c r="S55" s="324">
        <v>3</v>
      </c>
      <c r="T55" s="72">
        <f t="shared" si="30"/>
        <v>14.98</v>
      </c>
      <c r="U55" s="72">
        <f t="shared" si="31"/>
        <v>0</v>
      </c>
      <c r="V55" s="73">
        <f t="shared" si="32"/>
        <v>0</v>
      </c>
      <c r="W55" s="73">
        <f t="shared" si="33"/>
        <v>0</v>
      </c>
      <c r="X55" s="68">
        <f t="shared" si="34"/>
        <v>390326.345784</v>
      </c>
      <c r="Y55" s="74">
        <f t="shared" si="35"/>
        <v>300000</v>
      </c>
      <c r="Z55" s="62">
        <f t="array" ref="Z55">_xlfn.IFS(AND(F55=3,G55&gt;90),(90*1)+((G55-90)*0.85),AND(F55=3.5,G55&gt;100),(100*1)+((G55-100)*0.85),AND(F55=4,G55&gt;110),(110*1)+((G55-110)*0.85),AND(F55=4.5,G55&gt;120),(120*1)+((G55-120)*0.85),AND(F55=5,G55&gt;125),(125*1)+((G55-125)*0.85),AND(F55=5.5,G55&gt;135),(135*1)+((G55-135)*0.85),AND(F55=6,G55&gt;145),(145*1)+((G55-145)*0.85),TRUE(),G55)</f>
        <v>103.66</v>
      </c>
      <c r="AA55" s="321">
        <v>-0.05</v>
      </c>
      <c r="AC55" s="256" t="s">
        <v>120</v>
      </c>
      <c r="AD55" s="66">
        <v>3</v>
      </c>
      <c r="AE55" s="257" t="s">
        <v>67</v>
      </c>
    </row>
    <row r="56" spans="1:31" ht="14.25" customHeight="1" x14ac:dyDescent="0.3">
      <c r="A56" s="257" t="s">
        <v>67</v>
      </c>
      <c r="B56" s="66">
        <v>130</v>
      </c>
      <c r="C56" s="66">
        <v>4</v>
      </c>
      <c r="D56" s="79" t="s">
        <v>72</v>
      </c>
      <c r="E56" s="79">
        <v>1</v>
      </c>
      <c r="F56" s="67">
        <v>3</v>
      </c>
      <c r="G56" s="267">
        <v>79.989999999999995</v>
      </c>
      <c r="H56" s="267">
        <v>12</v>
      </c>
      <c r="I56" s="295">
        <v>6.72</v>
      </c>
      <c r="J56" s="323">
        <v>1</v>
      </c>
      <c r="K56" s="68">
        <f t="shared" si="36"/>
        <v>1526790.9622799996</v>
      </c>
      <c r="L56" s="79" t="s">
        <v>54</v>
      </c>
      <c r="M56" s="68">
        <f>K56*(1+AA56)</f>
        <v>1450451.4141659995</v>
      </c>
      <c r="N56" s="68">
        <f>M56-Y56</f>
        <v>1160361.1313327996</v>
      </c>
      <c r="O56" s="68">
        <f>M56*(1+$K$8)</f>
        <v>1499766.7622476434</v>
      </c>
      <c r="P56" s="68">
        <f t="shared" si="28"/>
        <v>339405.63091484387</v>
      </c>
      <c r="Q56" s="68">
        <f t="shared" si="29"/>
        <v>1160361.1313327996</v>
      </c>
      <c r="R56" s="78" t="s">
        <v>69</v>
      </c>
      <c r="S56" s="324">
        <v>4</v>
      </c>
      <c r="T56" s="72">
        <f t="shared" si="30"/>
        <v>12</v>
      </c>
      <c r="U56" s="72">
        <f t="shared" si="31"/>
        <v>0</v>
      </c>
      <c r="V56" s="73">
        <f t="shared" si="32"/>
        <v>0</v>
      </c>
      <c r="W56" s="73">
        <f t="shared" si="33"/>
        <v>0</v>
      </c>
      <c r="X56" s="68">
        <f>M56*0.2</f>
        <v>290090.28283319989</v>
      </c>
      <c r="Y56" s="74">
        <f t="shared" si="35"/>
        <v>290090.28283319989</v>
      </c>
      <c r="Z56" s="62">
        <f t="array" ref="Z56">_xlfn.IFS(AND(F56=3,G56&gt;90),(90*1)+((G56-90)*0.85),AND(F56=3.5,G56&gt;100),(100*1)+((G56-100)*0.85),AND(F56=4,G56&gt;110),(110*1)+((G56-110)*0.85),AND(F56=4.5,G56&gt;120),(120*1)+((G56-120)*0.85),AND(F56=5,G56&gt;125),(125*1)+((G56-125)*0.85),AND(F56=5.5,G56&gt;135),(135*1)+((G56-135)*0.85),AND(F56=6,G56&gt;145),(145*1)+((G56-145)*0.85),TRUE(),G56)</f>
        <v>79.989999999999995</v>
      </c>
      <c r="AA56" s="321">
        <v>-0.05</v>
      </c>
      <c r="AC56" s="256" t="s">
        <v>121</v>
      </c>
      <c r="AD56" s="66">
        <v>4</v>
      </c>
      <c r="AE56" s="257" t="s">
        <v>67</v>
      </c>
    </row>
    <row r="57" spans="1:31" ht="14.25" customHeight="1" x14ac:dyDescent="0.3">
      <c r="A57" s="257" t="s">
        <v>67</v>
      </c>
      <c r="B57" s="66">
        <v>130</v>
      </c>
      <c r="C57" s="66">
        <v>5</v>
      </c>
      <c r="D57" s="79" t="s">
        <v>68</v>
      </c>
      <c r="E57" s="79">
        <v>2</v>
      </c>
      <c r="F57" s="79">
        <v>5</v>
      </c>
      <c r="G57" s="267">
        <v>124.19</v>
      </c>
      <c r="H57" s="267">
        <v>15</v>
      </c>
      <c r="I57" s="295">
        <v>7.25</v>
      </c>
      <c r="J57" s="323">
        <v>2</v>
      </c>
      <c r="K57" s="68">
        <f t="shared" si="36"/>
        <v>2345064.3033999996</v>
      </c>
      <c r="L57" s="79" t="s">
        <v>54</v>
      </c>
      <c r="M57" s="68">
        <f t="shared" si="25"/>
        <v>2227811.0882299994</v>
      </c>
      <c r="N57" s="68">
        <f t="shared" si="26"/>
        <v>1927811.0882299994</v>
      </c>
      <c r="O57" s="68">
        <f t="shared" si="27"/>
        <v>2303556.6652298192</v>
      </c>
      <c r="P57" s="68">
        <f t="shared" si="28"/>
        <v>375745.57699981984</v>
      </c>
      <c r="Q57" s="68">
        <f t="shared" si="29"/>
        <v>1927811.0882299994</v>
      </c>
      <c r="R57" s="137" t="s">
        <v>69</v>
      </c>
      <c r="S57" s="324">
        <v>5</v>
      </c>
      <c r="T57" s="72">
        <f t="shared" si="30"/>
        <v>15</v>
      </c>
      <c r="U57" s="72">
        <f t="shared" si="31"/>
        <v>0</v>
      </c>
      <c r="V57" s="73">
        <f t="shared" si="32"/>
        <v>0</v>
      </c>
      <c r="W57" s="73">
        <f t="shared" si="33"/>
        <v>0</v>
      </c>
      <c r="X57" s="68">
        <f t="shared" si="34"/>
        <v>469012.86067999993</v>
      </c>
      <c r="Y57" s="74">
        <f t="shared" si="35"/>
        <v>300000</v>
      </c>
      <c r="Z57" s="62">
        <f t="array" ref="Z57">_xlfn.IFS(AND(F57=3,G57&gt;90),(90*1)+((G57-90)*0.85),AND(F57=3.5,G57&gt;100),(100*1)+((G57-100)*0.85),AND(F57=4,G57&gt;110),(110*1)+((G57-110)*0.85),AND(F57=4.5,G57&gt;120),(120*1)+((G57-120)*0.85),AND(F57=5,G57&gt;125),(125*1)+((G57-125)*0.85),AND(F57=5.5,G57&gt;135),(135*1)+((G57-135)*0.85),AND(F57=6,G57&gt;145),(145*1)+((G57-145)*0.85),TRUE(),G57)</f>
        <v>124.19</v>
      </c>
      <c r="AA57" s="321">
        <v>-0.05</v>
      </c>
      <c r="AC57" s="256" t="s">
        <v>119</v>
      </c>
      <c r="AD57" s="66">
        <v>5</v>
      </c>
      <c r="AE57" s="257" t="s">
        <v>67</v>
      </c>
    </row>
    <row r="58" spans="1:31" ht="14.25" customHeight="1" x14ac:dyDescent="0.3">
      <c r="A58" s="257" t="s">
        <v>67</v>
      </c>
      <c r="B58" s="66">
        <v>130</v>
      </c>
      <c r="C58" s="66">
        <v>6</v>
      </c>
      <c r="D58" s="67" t="s">
        <v>122</v>
      </c>
      <c r="E58" s="67">
        <v>2</v>
      </c>
      <c r="F58" s="67">
        <v>4</v>
      </c>
      <c r="G58" s="259">
        <v>113.37</v>
      </c>
      <c r="H58" s="259">
        <v>14.77</v>
      </c>
      <c r="I58" s="260">
        <v>6.27</v>
      </c>
      <c r="J58" s="323">
        <v>1</v>
      </c>
      <c r="K58" s="68">
        <f t="shared" si="36"/>
        <v>2106623.2014099997</v>
      </c>
      <c r="L58" s="79" t="s">
        <v>54</v>
      </c>
      <c r="M58" s="68">
        <f t="shared" si="25"/>
        <v>2001292.0413394996</v>
      </c>
      <c r="N58" s="68">
        <f t="shared" si="26"/>
        <v>1701292.0413394996</v>
      </c>
      <c r="O58" s="68">
        <f t="shared" si="27"/>
        <v>2069335.9707450427</v>
      </c>
      <c r="P58" s="68">
        <f t="shared" si="28"/>
        <v>368043.92940554302</v>
      </c>
      <c r="Q58" s="68">
        <f t="shared" si="29"/>
        <v>1701292.0413394996</v>
      </c>
      <c r="R58" s="137" t="s">
        <v>69</v>
      </c>
      <c r="S58" s="324">
        <v>6</v>
      </c>
      <c r="T58" s="72">
        <f t="shared" si="30"/>
        <v>14.77</v>
      </c>
      <c r="U58" s="72">
        <f t="shared" si="31"/>
        <v>0</v>
      </c>
      <c r="V58" s="73">
        <f t="shared" si="32"/>
        <v>0</v>
      </c>
      <c r="W58" s="73">
        <f t="shared" si="33"/>
        <v>0</v>
      </c>
      <c r="X58" s="68">
        <f t="shared" si="34"/>
        <v>421324.64028199995</v>
      </c>
      <c r="Y58" s="74">
        <f t="shared" si="35"/>
        <v>300000</v>
      </c>
      <c r="Z58" s="62">
        <f t="array" ref="Z58">_xlfn.IFS(AND(F58=3,G58&gt;90),(90*1)+((G58-90)*0.85),AND(F58=3.5,G58&gt;100),(100*1)+((G58-100)*0.85),AND(F58=4,G58&gt;110),(110*1)+((G58-110)*0.85),AND(F58=4.5,G58&gt;120),(120*1)+((G58-120)*0.85),AND(F58=5,G58&gt;125),(125*1)+((G58-125)*0.85),AND(F58=5.5,G58&gt;135),(135*1)+((G58-135)*0.85),AND(F58=6,G58&gt;145),(145*1)+((G58-145)*0.85),TRUE(),G58)</f>
        <v>112.86450000000001</v>
      </c>
      <c r="AA58" s="316">
        <v>-0.05</v>
      </c>
      <c r="AC58" s="256" t="s">
        <v>101</v>
      </c>
      <c r="AD58" s="66">
        <v>6</v>
      </c>
      <c r="AE58" s="257" t="s">
        <v>67</v>
      </c>
    </row>
    <row r="59" spans="1:31" ht="15.6" x14ac:dyDescent="0.3">
      <c r="A59" s="257" t="s">
        <v>67</v>
      </c>
      <c r="B59" s="66">
        <v>130</v>
      </c>
      <c r="C59" s="66">
        <v>7</v>
      </c>
      <c r="D59" s="79" t="s">
        <v>71</v>
      </c>
      <c r="E59" s="79">
        <v>2</v>
      </c>
      <c r="F59" s="67">
        <v>4</v>
      </c>
      <c r="G59" s="267">
        <v>103.66</v>
      </c>
      <c r="H59" s="267">
        <v>14.98</v>
      </c>
      <c r="I59" s="295">
        <v>6.72</v>
      </c>
      <c r="J59" s="323">
        <v>1</v>
      </c>
      <c r="K59" s="68">
        <f t="shared" si="36"/>
        <v>1951631.7289199999</v>
      </c>
      <c r="L59" s="79" t="s">
        <v>54</v>
      </c>
      <c r="M59" s="68">
        <f t="shared" si="25"/>
        <v>1854050.1424739999</v>
      </c>
      <c r="N59" s="68">
        <f t="shared" si="26"/>
        <v>1554050.1424739999</v>
      </c>
      <c r="O59" s="68">
        <f t="shared" si="27"/>
        <v>1917087.8473181159</v>
      </c>
      <c r="P59" s="68">
        <f t="shared" si="28"/>
        <v>363037.704844116</v>
      </c>
      <c r="Q59" s="68">
        <f t="shared" si="29"/>
        <v>1554050.1424739999</v>
      </c>
      <c r="R59" s="137" t="s">
        <v>69</v>
      </c>
      <c r="S59" s="324">
        <v>7</v>
      </c>
      <c r="T59" s="72">
        <f t="shared" si="30"/>
        <v>14.98</v>
      </c>
      <c r="U59" s="72">
        <f t="shared" si="31"/>
        <v>0</v>
      </c>
      <c r="V59" s="73">
        <f t="shared" si="32"/>
        <v>0</v>
      </c>
      <c r="W59" s="73">
        <f t="shared" si="33"/>
        <v>0</v>
      </c>
      <c r="X59" s="68">
        <f t="shared" si="34"/>
        <v>390326.345784</v>
      </c>
      <c r="Y59" s="74">
        <f t="shared" si="35"/>
        <v>300000</v>
      </c>
      <c r="Z59" s="62">
        <f t="array" ref="Z59">_xlfn.IFS(AND(F59=3,G59&gt;90),(90*1)+((G59-90)*0.85),AND(F59=3.5,G59&gt;100),(100*1)+((G59-100)*0.85),AND(F59=4,G59&gt;110),(110*1)+((G59-110)*0.85),AND(F59=4.5,G59&gt;120),(120*1)+((G59-120)*0.85),AND(F59=5,G59&gt;125),(125*1)+((G59-125)*0.85),AND(F59=5.5,G59&gt;135),(135*1)+((G59-135)*0.85),AND(F59=6,G59&gt;145),(145*1)+((G59-145)*0.85),TRUE(),G59)</f>
        <v>103.66</v>
      </c>
      <c r="AA59" s="321">
        <v>-0.05</v>
      </c>
      <c r="AC59" s="256" t="s">
        <v>120</v>
      </c>
      <c r="AD59" s="66">
        <v>7</v>
      </c>
      <c r="AE59" s="257" t="s">
        <v>67</v>
      </c>
    </row>
    <row r="60" spans="1:31" ht="15.6" x14ac:dyDescent="0.3">
      <c r="A60" s="257" t="s">
        <v>67</v>
      </c>
      <c r="B60" s="66">
        <v>130</v>
      </c>
      <c r="C60" s="66">
        <v>8</v>
      </c>
      <c r="D60" s="79" t="s">
        <v>72</v>
      </c>
      <c r="E60" s="79">
        <v>2</v>
      </c>
      <c r="F60" s="67">
        <v>3</v>
      </c>
      <c r="G60" s="267">
        <v>79.989999999999995</v>
      </c>
      <c r="H60" s="267">
        <v>12</v>
      </c>
      <c r="I60" s="295">
        <v>6.72</v>
      </c>
      <c r="J60" s="323">
        <v>1</v>
      </c>
      <c r="K60" s="68">
        <f t="shared" si="36"/>
        <v>1526790.9622799996</v>
      </c>
      <c r="L60" s="79" t="s">
        <v>54</v>
      </c>
      <c r="M60" s="68">
        <f t="shared" si="25"/>
        <v>1450451.4141659995</v>
      </c>
      <c r="N60" s="68">
        <f t="shared" si="26"/>
        <v>1160361.1313327996</v>
      </c>
      <c r="O60" s="68">
        <f t="shared" si="27"/>
        <v>1499766.7622476434</v>
      </c>
      <c r="P60" s="68">
        <f t="shared" si="28"/>
        <v>339405.63091484387</v>
      </c>
      <c r="Q60" s="68">
        <f t="shared" si="29"/>
        <v>1160361.1313327996</v>
      </c>
      <c r="R60" s="137" t="s">
        <v>69</v>
      </c>
      <c r="S60" s="324">
        <v>8</v>
      </c>
      <c r="T60" s="72">
        <f t="shared" si="30"/>
        <v>12</v>
      </c>
      <c r="U60" s="72">
        <f t="shared" si="31"/>
        <v>0</v>
      </c>
      <c r="V60" s="73">
        <f t="shared" si="32"/>
        <v>0</v>
      </c>
      <c r="W60" s="73">
        <f t="shared" si="33"/>
        <v>0</v>
      </c>
      <c r="X60" s="68">
        <f t="shared" ref="X60:X83" si="37">M60*0.2</f>
        <v>290090.28283319989</v>
      </c>
      <c r="Y60" s="74">
        <f t="shared" si="35"/>
        <v>290090.28283319989</v>
      </c>
      <c r="Z60" s="62">
        <f t="array" ref="Z60">_xlfn.IFS(AND(F60=3,G60&gt;90),(90*1)+((G60-90)*0.85),AND(F60=3.5,G60&gt;100),(100*1)+((G60-100)*0.85),AND(F60=4,G60&gt;110),(110*1)+((G60-110)*0.85),AND(F60=4.5,G60&gt;120),(120*1)+((G60-120)*0.85),AND(F60=5,G60&gt;125),(125*1)+((G60-125)*0.85),AND(F60=5.5,G60&gt;135),(135*1)+((G60-135)*0.85),AND(F60=6,G60&gt;145),(145*1)+((G60-145)*0.85),TRUE(),G60)</f>
        <v>79.989999999999995</v>
      </c>
      <c r="AA60" s="321">
        <v>-0.05</v>
      </c>
      <c r="AC60" s="256" t="s">
        <v>121</v>
      </c>
      <c r="AD60" s="66">
        <v>8</v>
      </c>
      <c r="AE60" s="257" t="s">
        <v>67</v>
      </c>
    </row>
    <row r="61" spans="1:31" ht="15.75" customHeight="1" x14ac:dyDescent="0.3">
      <c r="A61" s="257" t="s">
        <v>67</v>
      </c>
      <c r="B61" s="66">
        <v>130</v>
      </c>
      <c r="C61" s="66">
        <v>9</v>
      </c>
      <c r="D61" s="79" t="s">
        <v>68</v>
      </c>
      <c r="E61" s="79">
        <v>3</v>
      </c>
      <c r="F61" s="79">
        <v>5</v>
      </c>
      <c r="G61" s="267">
        <v>124.19</v>
      </c>
      <c r="H61" s="267">
        <v>15</v>
      </c>
      <c r="I61" s="295">
        <v>7.25</v>
      </c>
      <c r="J61" s="323">
        <v>1</v>
      </c>
      <c r="K61" s="68">
        <f t="shared" si="36"/>
        <v>2310473.7834000001</v>
      </c>
      <c r="L61" s="67" t="s">
        <v>54</v>
      </c>
      <c r="M61" s="68">
        <f t="shared" si="25"/>
        <v>2206502.4631469999</v>
      </c>
      <c r="N61" s="68">
        <f t="shared" si="26"/>
        <v>1906502.4631469999</v>
      </c>
      <c r="O61" s="68">
        <f t="shared" si="27"/>
        <v>2281523.546893998</v>
      </c>
      <c r="P61" s="68">
        <f t="shared" si="28"/>
        <v>375021.08374699811</v>
      </c>
      <c r="Q61" s="68">
        <f t="shared" si="29"/>
        <v>1906502.4631469999</v>
      </c>
      <c r="R61" s="137" t="s">
        <v>69</v>
      </c>
      <c r="S61" s="324">
        <v>9</v>
      </c>
      <c r="T61" s="72">
        <f t="shared" si="30"/>
        <v>15</v>
      </c>
      <c r="U61" s="72">
        <f t="shared" si="31"/>
        <v>0</v>
      </c>
      <c r="V61" s="73">
        <f t="shared" si="32"/>
        <v>0</v>
      </c>
      <c r="W61" s="73">
        <f t="shared" si="33"/>
        <v>0</v>
      </c>
      <c r="X61" s="68">
        <f t="shared" si="37"/>
        <v>441300.49262939999</v>
      </c>
      <c r="Y61" s="74">
        <f t="shared" si="35"/>
        <v>300000</v>
      </c>
      <c r="Z61" s="62">
        <f t="array" ref="Z61">_xlfn.IFS(AND(F61=3,G61&gt;90),(90*1)+((G61-90)*0.85),AND(F61=3.5,G61&gt;100),(100*1)+((G61-100)*0.85),AND(F61=4,G61&gt;110),(110*1)+((G61-110)*0.85),AND(F61=4.5,G61&gt;120),(120*1)+((G61-120)*0.85),AND(F61=5,G61&gt;125),(125*1)+((G61-125)*0.85),AND(F61=5.5,G61&gt;135),(135*1)+((G61-135)*0.85),AND(F61=6,G61&gt;145),(145*1)+((G61-145)*0.85),TRUE(),G61)</f>
        <v>124.19</v>
      </c>
      <c r="AA61" s="321">
        <v>-4.4999999999999998E-2</v>
      </c>
      <c r="AC61" s="256" t="s">
        <v>119</v>
      </c>
      <c r="AD61" s="66">
        <v>9</v>
      </c>
      <c r="AE61" s="257" t="s">
        <v>67</v>
      </c>
    </row>
    <row r="62" spans="1:31" ht="15.75" customHeight="1" x14ac:dyDescent="0.3">
      <c r="A62" s="257" t="s">
        <v>67</v>
      </c>
      <c r="B62" s="66">
        <v>130</v>
      </c>
      <c r="C62" s="66">
        <v>10</v>
      </c>
      <c r="D62" s="67" t="s">
        <v>70</v>
      </c>
      <c r="E62" s="67">
        <v>3</v>
      </c>
      <c r="F62" s="67">
        <v>4</v>
      </c>
      <c r="G62" s="259">
        <v>113.37</v>
      </c>
      <c r="H62" s="259">
        <v>19.38</v>
      </c>
      <c r="I62" s="260">
        <v>6.27</v>
      </c>
      <c r="J62" s="323">
        <v>1</v>
      </c>
      <c r="K62" s="68"/>
      <c r="L62" s="79" t="s">
        <v>47</v>
      </c>
      <c r="M62" s="68"/>
      <c r="N62" s="68"/>
      <c r="O62" s="68"/>
      <c r="P62" s="68"/>
      <c r="Q62" s="68"/>
      <c r="R62" s="137" t="s">
        <v>69</v>
      </c>
      <c r="S62" s="324">
        <v>10</v>
      </c>
      <c r="T62" s="72">
        <f t="shared" si="30"/>
        <v>19.38</v>
      </c>
      <c r="U62" s="72">
        <f t="shared" si="31"/>
        <v>0</v>
      </c>
      <c r="V62" s="73">
        <f t="shared" si="32"/>
        <v>0</v>
      </c>
      <c r="W62" s="73">
        <f t="shared" si="33"/>
        <v>0</v>
      </c>
      <c r="X62" s="68">
        <f t="shared" si="37"/>
        <v>0</v>
      </c>
      <c r="Y62" s="74">
        <f t="shared" si="35"/>
        <v>0</v>
      </c>
      <c r="Z62" s="62">
        <f t="array" ref="Z62">_xlfn.IFS(AND(F62=3,G62&gt;90),(90*1)+((G62-90)*0.85),AND(F62=3.5,G62&gt;100),(100*1)+((G62-100)*0.85),AND(F62=4,G62&gt;110),(110*1)+((G62-110)*0.85),AND(F62=4.5,G62&gt;120),(120*1)+((G62-120)*0.85),AND(F62=5,G62&gt;125),(125*1)+((G62-125)*0.85),AND(F62=5.5,G62&gt;135),(135*1)+((G62-135)*0.85),AND(F62=6,G62&gt;145),(145*1)+((G62-145)*0.85),TRUE(),G62)</f>
        <v>112.86450000000001</v>
      </c>
      <c r="AA62" s="316">
        <v>-4.4999999999999998E-2</v>
      </c>
      <c r="AC62" s="256" t="s">
        <v>101</v>
      </c>
      <c r="AD62" s="66">
        <v>10</v>
      </c>
      <c r="AE62" s="257" t="s">
        <v>67</v>
      </c>
    </row>
    <row r="63" spans="1:31" ht="15.6" x14ac:dyDescent="0.3">
      <c r="A63" s="257" t="s">
        <v>67</v>
      </c>
      <c r="B63" s="66">
        <v>130</v>
      </c>
      <c r="C63" s="66">
        <v>11</v>
      </c>
      <c r="D63" s="79" t="s">
        <v>71</v>
      </c>
      <c r="E63" s="79">
        <v>3</v>
      </c>
      <c r="F63" s="67">
        <v>4</v>
      </c>
      <c r="G63" s="267">
        <v>103.66</v>
      </c>
      <c r="H63" s="267">
        <v>14.98</v>
      </c>
      <c r="I63" s="295">
        <v>6.72</v>
      </c>
      <c r="J63" s="323">
        <v>1</v>
      </c>
      <c r="K63" s="68">
        <f t="shared" ref="K63:K69" si="38">(SUMPRODUCT(H63:J63,$H$9:$J$9)+$G$9*Z63+SUMPRODUCT(T63:W63,$T$9:$W$9))*$I$5</f>
        <v>1951631.7289199999</v>
      </c>
      <c r="L63" s="79" t="s">
        <v>54</v>
      </c>
      <c r="M63" s="68">
        <f t="shared" si="25"/>
        <v>1863808.3011185997</v>
      </c>
      <c r="N63" s="68">
        <f t="shared" si="26"/>
        <v>1563808.3011185997</v>
      </c>
      <c r="O63" s="68">
        <f t="shared" si="27"/>
        <v>1927177.7833566321</v>
      </c>
      <c r="P63" s="68">
        <f t="shared" si="28"/>
        <v>363369.48223803239</v>
      </c>
      <c r="Q63" s="68">
        <f t="shared" si="29"/>
        <v>1563808.3011185997</v>
      </c>
      <c r="R63" s="137" t="s">
        <v>69</v>
      </c>
      <c r="S63" s="324">
        <v>11</v>
      </c>
      <c r="T63" s="72">
        <f t="shared" si="30"/>
        <v>14.98</v>
      </c>
      <c r="U63" s="72">
        <f t="shared" si="31"/>
        <v>0</v>
      </c>
      <c r="V63" s="73">
        <f t="shared" si="32"/>
        <v>0</v>
      </c>
      <c r="W63" s="73">
        <f t="shared" si="33"/>
        <v>0</v>
      </c>
      <c r="X63" s="68">
        <f t="shared" si="37"/>
        <v>372761.66022371995</v>
      </c>
      <c r="Y63" s="74">
        <f t="shared" si="35"/>
        <v>300000</v>
      </c>
      <c r="Z63" s="62">
        <f t="array" ref="Z63">_xlfn.IFS(AND(F63=3,G63&gt;90),(90*1)+((G63-90)*0.85),AND(F63=3.5,G63&gt;100),(100*1)+((G63-100)*0.85),AND(F63=4,G63&gt;110),(110*1)+((G63-110)*0.85),AND(F63=4.5,G63&gt;120),(120*1)+((G63-120)*0.85),AND(F63=5,G63&gt;125),(125*1)+((G63-125)*0.85),AND(F63=5.5,G63&gt;135),(135*1)+((G63-135)*0.85),AND(F63=6,G63&gt;145),(145*1)+((G63-145)*0.85),TRUE(),G63)</f>
        <v>103.66</v>
      </c>
      <c r="AA63" s="321">
        <v>-4.4999999999999998E-2</v>
      </c>
      <c r="AC63" s="256" t="s">
        <v>120</v>
      </c>
      <c r="AD63" s="66">
        <v>11</v>
      </c>
      <c r="AE63" s="257" t="s">
        <v>67</v>
      </c>
    </row>
    <row r="64" spans="1:31" ht="15.6" x14ac:dyDescent="0.3">
      <c r="A64" s="257" t="s">
        <v>67</v>
      </c>
      <c r="B64" s="66">
        <v>130</v>
      </c>
      <c r="C64" s="66">
        <v>12</v>
      </c>
      <c r="D64" s="79" t="s">
        <v>72</v>
      </c>
      <c r="E64" s="79">
        <v>3</v>
      </c>
      <c r="F64" s="67">
        <v>3</v>
      </c>
      <c r="G64" s="267">
        <v>79.989999999999995</v>
      </c>
      <c r="H64" s="267">
        <v>12</v>
      </c>
      <c r="I64" s="295">
        <v>6.72</v>
      </c>
      <c r="J64" s="323">
        <v>1</v>
      </c>
      <c r="K64" s="68">
        <f t="shared" si="38"/>
        <v>1526790.9622799996</v>
      </c>
      <c r="L64" s="79" t="s">
        <v>54</v>
      </c>
      <c r="M64" s="68">
        <f t="shared" si="25"/>
        <v>1458085.3689773995</v>
      </c>
      <c r="N64" s="68">
        <f t="shared" si="26"/>
        <v>1166468.2951819196</v>
      </c>
      <c r="O64" s="68">
        <f t="shared" si="27"/>
        <v>1507660.2715226312</v>
      </c>
      <c r="P64" s="68">
        <f t="shared" si="28"/>
        <v>341191.97634071158</v>
      </c>
      <c r="Q64" s="68">
        <f t="shared" si="29"/>
        <v>1166468.2951819196</v>
      </c>
      <c r="R64" s="137" t="s">
        <v>69</v>
      </c>
      <c r="S64" s="324">
        <v>12</v>
      </c>
      <c r="T64" s="72">
        <f t="shared" si="30"/>
        <v>12</v>
      </c>
      <c r="U64" s="72">
        <f t="shared" si="31"/>
        <v>0</v>
      </c>
      <c r="V64" s="73">
        <f t="shared" si="32"/>
        <v>0</v>
      </c>
      <c r="W64" s="73">
        <f t="shared" si="33"/>
        <v>0</v>
      </c>
      <c r="X64" s="68">
        <f t="shared" si="37"/>
        <v>291617.0737954799</v>
      </c>
      <c r="Y64" s="74">
        <f t="shared" si="35"/>
        <v>291617.0737954799</v>
      </c>
      <c r="Z64" s="62">
        <f t="array" ref="Z64">_xlfn.IFS(AND(F64=3,G64&gt;90),(90*1)+((G64-90)*0.85),AND(F64=3.5,G64&gt;100),(100*1)+((G64-100)*0.85),AND(F64=4,G64&gt;110),(110*1)+((G64-110)*0.85),AND(F64=4.5,G64&gt;120),(120*1)+((G64-120)*0.85),AND(F64=5,G64&gt;125),(125*1)+((G64-125)*0.85),AND(F64=5.5,G64&gt;135),(135*1)+((G64-135)*0.85),AND(F64=6,G64&gt;145),(145*1)+((G64-145)*0.85),TRUE(),G64)</f>
        <v>79.989999999999995</v>
      </c>
      <c r="AA64" s="321">
        <v>-4.4999999999999998E-2</v>
      </c>
      <c r="AC64" s="256" t="s">
        <v>121</v>
      </c>
      <c r="AD64" s="66">
        <v>12</v>
      </c>
      <c r="AE64" s="257" t="s">
        <v>67</v>
      </c>
    </row>
    <row r="65" spans="1:31" ht="15.6" x14ac:dyDescent="0.3">
      <c r="A65" s="257" t="s">
        <v>67</v>
      </c>
      <c r="B65" s="66">
        <v>130</v>
      </c>
      <c r="C65" s="66">
        <v>13</v>
      </c>
      <c r="D65" s="79" t="s">
        <v>68</v>
      </c>
      <c r="E65" s="79">
        <v>4</v>
      </c>
      <c r="F65" s="79">
        <v>5</v>
      </c>
      <c r="G65" s="267">
        <v>124.19</v>
      </c>
      <c r="H65" s="267">
        <v>15</v>
      </c>
      <c r="I65" s="295">
        <v>7.25</v>
      </c>
      <c r="J65" s="323">
        <v>1</v>
      </c>
      <c r="K65" s="68">
        <f t="shared" si="38"/>
        <v>2310473.7834000001</v>
      </c>
      <c r="L65" s="67" t="s">
        <v>54</v>
      </c>
      <c r="M65" s="68">
        <f t="shared" si="25"/>
        <v>2218054.832064</v>
      </c>
      <c r="N65" s="68">
        <f t="shared" si="26"/>
        <v>1918054.832064</v>
      </c>
      <c r="O65" s="68">
        <f t="shared" si="27"/>
        <v>2293468.6963541759</v>
      </c>
      <c r="P65" s="68">
        <f t="shared" si="28"/>
        <v>375413.86429017596</v>
      </c>
      <c r="Q65" s="68">
        <f t="shared" si="29"/>
        <v>1918054.832064</v>
      </c>
      <c r="R65" s="137" t="s">
        <v>69</v>
      </c>
      <c r="S65" s="324">
        <v>13</v>
      </c>
      <c r="T65" s="72">
        <f t="shared" si="30"/>
        <v>15</v>
      </c>
      <c r="U65" s="72">
        <f t="shared" si="31"/>
        <v>0</v>
      </c>
      <c r="V65" s="73">
        <f t="shared" si="32"/>
        <v>0</v>
      </c>
      <c r="W65" s="73">
        <f t="shared" si="33"/>
        <v>0</v>
      </c>
      <c r="X65" s="68">
        <f t="shared" si="37"/>
        <v>443610.96641280001</v>
      </c>
      <c r="Y65" s="74">
        <f t="shared" si="35"/>
        <v>300000</v>
      </c>
      <c r="Z65" s="62">
        <f t="array" ref="Z65">_xlfn.IFS(AND(F65=3,G65&gt;90),(90*1)+((G65-90)*0.85),AND(F65=3.5,G65&gt;100),(100*1)+((G65-100)*0.85),AND(F65=4,G65&gt;110),(110*1)+((G65-110)*0.85),AND(F65=4.5,G65&gt;120),(120*1)+((G65-120)*0.85),AND(F65=5,G65&gt;125),(125*1)+((G65-125)*0.85),AND(F65=5.5,G65&gt;135),(135*1)+((G65-135)*0.85),AND(F65=6,G65&gt;145),(145*1)+((G65-145)*0.85),TRUE(),G65)</f>
        <v>124.19</v>
      </c>
      <c r="AA65" s="321">
        <v>-0.04</v>
      </c>
      <c r="AC65" s="256" t="s">
        <v>119</v>
      </c>
      <c r="AD65" s="66">
        <v>13</v>
      </c>
      <c r="AE65" s="257" t="s">
        <v>67</v>
      </c>
    </row>
    <row r="66" spans="1:31" ht="15.75" customHeight="1" x14ac:dyDescent="0.3">
      <c r="A66" s="257" t="s">
        <v>67</v>
      </c>
      <c r="B66" s="66">
        <v>130</v>
      </c>
      <c r="C66" s="66">
        <v>14</v>
      </c>
      <c r="D66" s="67" t="s">
        <v>122</v>
      </c>
      <c r="E66" s="67">
        <v>4</v>
      </c>
      <c r="F66" s="67">
        <v>4</v>
      </c>
      <c r="G66" s="259">
        <v>113.37</v>
      </c>
      <c r="H66" s="259">
        <v>14.77</v>
      </c>
      <c r="I66" s="260">
        <v>6.27</v>
      </c>
      <c r="J66" s="323">
        <v>1</v>
      </c>
      <c r="K66" s="68">
        <f t="shared" si="38"/>
        <v>2106623.2014099997</v>
      </c>
      <c r="L66" s="79" t="s">
        <v>54</v>
      </c>
      <c r="M66" s="68">
        <f t="shared" si="25"/>
        <v>2022358.2733535997</v>
      </c>
      <c r="N66" s="68">
        <f t="shared" si="26"/>
        <v>1722358.2733535997</v>
      </c>
      <c r="O66" s="68">
        <f t="shared" si="27"/>
        <v>2091118.4546476221</v>
      </c>
      <c r="P66" s="68">
        <f t="shared" si="28"/>
        <v>368760.18129402236</v>
      </c>
      <c r="Q66" s="68">
        <f t="shared" si="29"/>
        <v>1722358.2733535997</v>
      </c>
      <c r="R66" s="137" t="s">
        <v>69</v>
      </c>
      <c r="S66" s="324">
        <v>14</v>
      </c>
      <c r="T66" s="72">
        <f t="shared" si="30"/>
        <v>14.77</v>
      </c>
      <c r="U66" s="72">
        <f t="shared" si="31"/>
        <v>0</v>
      </c>
      <c r="V66" s="73">
        <f t="shared" si="32"/>
        <v>0</v>
      </c>
      <c r="W66" s="73">
        <f t="shared" si="33"/>
        <v>0</v>
      </c>
      <c r="X66" s="68">
        <f t="shared" si="37"/>
        <v>404471.65467071999</v>
      </c>
      <c r="Y66" s="74">
        <f t="shared" si="35"/>
        <v>300000</v>
      </c>
      <c r="Z66" s="62">
        <f t="array" ref="Z66">_xlfn.IFS(AND(F66=3,G66&gt;90),(90*1)+((G66-90)*0.85),AND(F66=3.5,G66&gt;100),(100*1)+((G66-100)*0.85),AND(F66=4,G66&gt;110),(110*1)+((G66-110)*0.85),AND(F66=4.5,G66&gt;120),(120*1)+((G66-120)*0.85),AND(F66=5,G66&gt;125),(125*1)+((G66-125)*0.85),AND(F66=5.5,G66&gt;135),(135*1)+((G66-135)*0.85),AND(F66=6,G66&gt;145),(145*1)+((G66-145)*0.85),TRUE(),G66)</f>
        <v>112.86450000000001</v>
      </c>
      <c r="AA66" s="316">
        <v>-0.04</v>
      </c>
      <c r="AC66" s="256" t="s">
        <v>101</v>
      </c>
      <c r="AD66" s="66">
        <v>14</v>
      </c>
      <c r="AE66" s="257" t="s">
        <v>67</v>
      </c>
    </row>
    <row r="67" spans="1:31" ht="15.75" customHeight="1" x14ac:dyDescent="0.3">
      <c r="A67" s="257" t="s">
        <v>67</v>
      </c>
      <c r="B67" s="66">
        <v>130</v>
      </c>
      <c r="C67" s="66">
        <v>15</v>
      </c>
      <c r="D67" s="79" t="s">
        <v>71</v>
      </c>
      <c r="E67" s="79">
        <v>4</v>
      </c>
      <c r="F67" s="67">
        <v>4</v>
      </c>
      <c r="G67" s="267">
        <v>103.66</v>
      </c>
      <c r="H67" s="267">
        <v>14.98</v>
      </c>
      <c r="I67" s="295">
        <v>6.72</v>
      </c>
      <c r="J67" s="323">
        <v>1</v>
      </c>
      <c r="K67" s="68">
        <f t="shared" si="38"/>
        <v>1951631.7289199999</v>
      </c>
      <c r="L67" s="79" t="s">
        <v>54</v>
      </c>
      <c r="M67" s="68">
        <f t="shared" si="25"/>
        <v>1873566.4597631998</v>
      </c>
      <c r="N67" s="68">
        <f t="shared" si="26"/>
        <v>1573566.4597631998</v>
      </c>
      <c r="O67" s="68">
        <f t="shared" si="27"/>
        <v>1937267.7193951486</v>
      </c>
      <c r="P67" s="68">
        <f t="shared" si="28"/>
        <v>363701.25963194878</v>
      </c>
      <c r="Q67" s="68">
        <f t="shared" si="29"/>
        <v>1573566.4597631998</v>
      </c>
      <c r="R67" s="137" t="s">
        <v>69</v>
      </c>
      <c r="S67" s="324">
        <v>15</v>
      </c>
      <c r="T67" s="72">
        <f t="shared" si="30"/>
        <v>14.98</v>
      </c>
      <c r="U67" s="72">
        <f t="shared" si="31"/>
        <v>0</v>
      </c>
      <c r="V67" s="73">
        <f t="shared" si="32"/>
        <v>0</v>
      </c>
      <c r="W67" s="73">
        <f t="shared" si="33"/>
        <v>0</v>
      </c>
      <c r="X67" s="68">
        <f t="shared" si="37"/>
        <v>374713.29195263999</v>
      </c>
      <c r="Y67" s="74">
        <f t="shared" si="35"/>
        <v>300000</v>
      </c>
      <c r="Z67" s="62">
        <f t="array" ref="Z67">_xlfn.IFS(AND(F67=3,G67&gt;90),(90*1)+((G67-90)*0.85),AND(F67=3.5,G67&gt;100),(100*1)+((G67-100)*0.85),AND(F67=4,G67&gt;110),(110*1)+((G67-110)*0.85),AND(F67=4.5,G67&gt;120),(120*1)+((G67-120)*0.85),AND(F67=5,G67&gt;125),(125*1)+((G67-125)*0.85),AND(F67=5.5,G67&gt;135),(135*1)+((G67-135)*0.85),AND(F67=6,G67&gt;145),(145*1)+((G67-145)*0.85),TRUE(),G67)</f>
        <v>103.66</v>
      </c>
      <c r="AA67" s="321">
        <v>-0.04</v>
      </c>
      <c r="AC67" s="256" t="s">
        <v>120</v>
      </c>
      <c r="AD67" s="66">
        <v>15</v>
      </c>
      <c r="AE67" s="257" t="s">
        <v>67</v>
      </c>
    </row>
    <row r="68" spans="1:31" ht="15.75" customHeight="1" x14ac:dyDescent="0.3">
      <c r="A68" s="257" t="s">
        <v>67</v>
      </c>
      <c r="B68" s="66">
        <v>130</v>
      </c>
      <c r="C68" s="66">
        <v>16</v>
      </c>
      <c r="D68" s="79" t="s">
        <v>72</v>
      </c>
      <c r="E68" s="79">
        <v>4</v>
      </c>
      <c r="F68" s="67">
        <v>3</v>
      </c>
      <c r="G68" s="267">
        <v>79.989999999999995</v>
      </c>
      <c r="H68" s="267">
        <v>12</v>
      </c>
      <c r="I68" s="295">
        <v>6.72</v>
      </c>
      <c r="J68" s="323">
        <v>1</v>
      </c>
      <c r="K68" s="68">
        <f t="shared" si="38"/>
        <v>1526790.9622799996</v>
      </c>
      <c r="L68" s="79" t="s">
        <v>54</v>
      </c>
      <c r="M68" s="68">
        <f t="shared" si="25"/>
        <v>1465719.3237887996</v>
      </c>
      <c r="N68" s="68">
        <f t="shared" si="26"/>
        <v>1172575.4590310396</v>
      </c>
      <c r="O68" s="68">
        <f t="shared" si="27"/>
        <v>1515553.7807976189</v>
      </c>
      <c r="P68" s="68">
        <f t="shared" si="28"/>
        <v>342978.32176657929</v>
      </c>
      <c r="Q68" s="68">
        <f t="shared" si="29"/>
        <v>1172575.4590310396</v>
      </c>
      <c r="R68" s="137" t="s">
        <v>69</v>
      </c>
      <c r="S68" s="324">
        <v>16</v>
      </c>
      <c r="T68" s="72">
        <f t="shared" si="30"/>
        <v>12</v>
      </c>
      <c r="U68" s="72">
        <f t="shared" si="31"/>
        <v>0</v>
      </c>
      <c r="V68" s="73">
        <f t="shared" si="32"/>
        <v>0</v>
      </c>
      <c r="W68" s="73">
        <f t="shared" si="33"/>
        <v>0</v>
      </c>
      <c r="X68" s="68">
        <f>M68*0.2</f>
        <v>293143.8647577599</v>
      </c>
      <c r="Y68" s="74">
        <f t="shared" si="35"/>
        <v>293143.8647577599</v>
      </c>
      <c r="Z68" s="62">
        <f t="array" ref="Z68">_xlfn.IFS(AND(F68=3,G68&gt;90),(90*1)+((G68-90)*0.85),AND(F68=3.5,G68&gt;100),(100*1)+((G68-100)*0.85),AND(F68=4,G68&gt;110),(110*1)+((G68-110)*0.85),AND(F68=4.5,G68&gt;120),(120*1)+((G68-120)*0.85),AND(F68=5,G68&gt;125),(125*1)+((G68-125)*0.85),AND(F68=5.5,G68&gt;135),(135*1)+((G68-135)*0.85),AND(F68=6,G68&gt;145),(145*1)+((G68-145)*0.85),TRUE(),G68)</f>
        <v>79.989999999999995</v>
      </c>
      <c r="AA68" s="321">
        <v>-0.04</v>
      </c>
      <c r="AC68" s="325" t="s">
        <v>121</v>
      </c>
      <c r="AD68" s="66">
        <v>16</v>
      </c>
      <c r="AE68" s="257" t="s">
        <v>67</v>
      </c>
    </row>
    <row r="69" spans="1:31" ht="15.75" customHeight="1" x14ac:dyDescent="0.3">
      <c r="A69" s="257" t="s">
        <v>67</v>
      </c>
      <c r="B69" s="66">
        <v>130</v>
      </c>
      <c r="C69" s="66">
        <v>17</v>
      </c>
      <c r="D69" s="79" t="s">
        <v>68</v>
      </c>
      <c r="E69" s="79">
        <v>5</v>
      </c>
      <c r="F69" s="79">
        <v>5</v>
      </c>
      <c r="G69" s="267">
        <v>124.19</v>
      </c>
      <c r="H69" s="267">
        <v>15</v>
      </c>
      <c r="I69" s="295">
        <v>7.25</v>
      </c>
      <c r="J69" s="323">
        <v>1</v>
      </c>
      <c r="K69" s="68">
        <f t="shared" si="38"/>
        <v>2310473.7834000001</v>
      </c>
      <c r="L69" s="67" t="s">
        <v>54</v>
      </c>
      <c r="M69" s="68">
        <f t="shared" si="25"/>
        <v>2229607.200981</v>
      </c>
      <c r="N69" s="68">
        <f t="shared" si="26"/>
        <v>1929607.200981</v>
      </c>
      <c r="O69" s="68">
        <f t="shared" si="27"/>
        <v>2305413.8458143543</v>
      </c>
      <c r="P69" s="68">
        <f t="shared" si="28"/>
        <v>375806.64483335428</v>
      </c>
      <c r="Q69" s="68">
        <f t="shared" si="29"/>
        <v>1929607.200981</v>
      </c>
      <c r="R69" s="137" t="s">
        <v>69</v>
      </c>
      <c r="S69" s="324">
        <v>17</v>
      </c>
      <c r="T69" s="72">
        <f t="shared" si="30"/>
        <v>15</v>
      </c>
      <c r="U69" s="72">
        <f t="shared" si="31"/>
        <v>0</v>
      </c>
      <c r="V69" s="73">
        <f t="shared" si="32"/>
        <v>0</v>
      </c>
      <c r="W69" s="73">
        <f t="shared" si="33"/>
        <v>0</v>
      </c>
      <c r="X69" s="68">
        <f t="shared" si="37"/>
        <v>445921.44019620004</v>
      </c>
      <c r="Y69" s="74">
        <f t="shared" si="35"/>
        <v>300000</v>
      </c>
      <c r="Z69" s="62">
        <f t="array" ref="Z69">_xlfn.IFS(AND(F69=3,G69&gt;90),(90*1)+((G69-90)*0.85),AND(F69=3.5,G69&gt;100),(100*1)+((G69-100)*0.85),AND(F69=4,G69&gt;110),(110*1)+((G69-110)*0.85),AND(F69=4.5,G69&gt;120),(120*1)+((G69-120)*0.85),AND(F69=5,G69&gt;125),(125*1)+((G69-125)*0.85),AND(F69=5.5,G69&gt;135),(135*1)+((G69-135)*0.85),AND(F69=6,G69&gt;145),(145*1)+((G69-145)*0.85),TRUE(),G69)</f>
        <v>124.19</v>
      </c>
      <c r="AA69" s="316">
        <v>-3.5000000000000003E-2</v>
      </c>
      <c r="AC69" s="256" t="s">
        <v>119</v>
      </c>
      <c r="AD69" s="66">
        <v>17</v>
      </c>
      <c r="AE69" s="257" t="s">
        <v>67</v>
      </c>
    </row>
    <row r="70" spans="1:31" ht="15.6" x14ac:dyDescent="0.3">
      <c r="A70" s="257" t="s">
        <v>67</v>
      </c>
      <c r="B70" s="66">
        <v>130</v>
      </c>
      <c r="C70" s="66">
        <v>18</v>
      </c>
      <c r="D70" s="67" t="s">
        <v>70</v>
      </c>
      <c r="E70" s="67">
        <v>5</v>
      </c>
      <c r="F70" s="67">
        <v>4</v>
      </c>
      <c r="G70" s="259">
        <v>113.37</v>
      </c>
      <c r="H70" s="259">
        <v>19.38</v>
      </c>
      <c r="I70" s="260">
        <v>6.27</v>
      </c>
      <c r="J70" s="323">
        <v>1</v>
      </c>
      <c r="K70" s="68"/>
      <c r="L70" s="67" t="s">
        <v>47</v>
      </c>
      <c r="M70" s="68"/>
      <c r="N70" s="68"/>
      <c r="O70" s="68"/>
      <c r="P70" s="68"/>
      <c r="Q70" s="68"/>
      <c r="R70" s="137" t="s">
        <v>69</v>
      </c>
      <c r="S70" s="324">
        <v>18</v>
      </c>
      <c r="T70" s="72">
        <f t="shared" si="30"/>
        <v>19.38</v>
      </c>
      <c r="U70" s="72">
        <f t="shared" si="31"/>
        <v>0</v>
      </c>
      <c r="V70" s="73">
        <f t="shared" si="32"/>
        <v>0</v>
      </c>
      <c r="W70" s="73">
        <f t="shared" si="33"/>
        <v>0</v>
      </c>
      <c r="X70" s="68">
        <f t="shared" si="37"/>
        <v>0</v>
      </c>
      <c r="Y70" s="74">
        <f t="shared" si="35"/>
        <v>0</v>
      </c>
      <c r="Z70" s="62">
        <f t="array" ref="Z70">_xlfn.IFS(AND(F70=3,G70&gt;90),(90*1)+((G70-90)*0.85),AND(F70=3.5,G70&gt;100),(100*1)+((G70-100)*0.85),AND(F70=4,G70&gt;110),(110*1)+((G70-110)*0.85),AND(F70=4.5,G70&gt;120),(120*1)+((G70-120)*0.85),AND(F70=5,G70&gt;125),(125*1)+((G70-125)*0.85),AND(F70=5.5,G70&gt;135),(135*1)+((G70-135)*0.85),AND(F70=6,G70&gt;145),(145*1)+((G70-145)*0.85),TRUE(),G70)</f>
        <v>112.86450000000001</v>
      </c>
      <c r="AA70" s="316">
        <v>-3.5000000000000003E-2</v>
      </c>
      <c r="AC70" s="256" t="s">
        <v>101</v>
      </c>
      <c r="AD70" s="66">
        <v>18</v>
      </c>
      <c r="AE70" s="257" t="s">
        <v>67</v>
      </c>
    </row>
    <row r="71" spans="1:31" ht="15.6" x14ac:dyDescent="0.3">
      <c r="A71" s="257" t="s">
        <v>67</v>
      </c>
      <c r="B71" s="66">
        <v>130</v>
      </c>
      <c r="C71" s="66">
        <v>19</v>
      </c>
      <c r="D71" s="79" t="s">
        <v>71</v>
      </c>
      <c r="E71" s="79">
        <v>5</v>
      </c>
      <c r="F71" s="67">
        <v>4</v>
      </c>
      <c r="G71" s="267">
        <v>103.66</v>
      </c>
      <c r="H71" s="267">
        <v>14.98</v>
      </c>
      <c r="I71" s="295">
        <v>6.72</v>
      </c>
      <c r="J71" s="323">
        <v>1</v>
      </c>
      <c r="K71" s="68">
        <f t="shared" ref="K71:K77" si="39">(SUMPRODUCT(H71:J71,$H$9:$J$9)+$G$9*Z71+SUMPRODUCT(T71:W71,$T$9:$W$9))*$I$5</f>
        <v>1951631.7289199999</v>
      </c>
      <c r="L71" s="79" t="s">
        <v>54</v>
      </c>
      <c r="M71" s="68">
        <f t="shared" si="25"/>
        <v>1883324.6184077999</v>
      </c>
      <c r="N71" s="68">
        <f t="shared" si="26"/>
        <v>1583324.6184077999</v>
      </c>
      <c r="O71" s="68">
        <f t="shared" si="27"/>
        <v>1947357.655433665</v>
      </c>
      <c r="P71" s="68">
        <f t="shared" si="28"/>
        <v>364033.03702586517</v>
      </c>
      <c r="Q71" s="68">
        <f t="shared" si="29"/>
        <v>1583324.6184077999</v>
      </c>
      <c r="R71" s="137" t="s">
        <v>69</v>
      </c>
      <c r="S71" s="324">
        <v>19</v>
      </c>
      <c r="T71" s="72">
        <f t="shared" si="30"/>
        <v>14.98</v>
      </c>
      <c r="U71" s="72">
        <f t="shared" si="31"/>
        <v>0</v>
      </c>
      <c r="V71" s="73">
        <f t="shared" si="32"/>
        <v>0</v>
      </c>
      <c r="W71" s="73">
        <f t="shared" si="33"/>
        <v>0</v>
      </c>
      <c r="X71" s="68">
        <f t="shared" si="37"/>
        <v>376664.92368155997</v>
      </c>
      <c r="Y71" s="74">
        <f t="shared" si="35"/>
        <v>300000</v>
      </c>
      <c r="Z71" s="62">
        <f t="array" ref="Z71">_xlfn.IFS(AND(F71=3,G71&gt;90),(90*1)+((G71-90)*0.85),AND(F71=3.5,G71&gt;100),(100*1)+((G71-100)*0.85),AND(F71=4,G71&gt;110),(110*1)+((G71-110)*0.85),AND(F71=4.5,G71&gt;120),(120*1)+((G71-120)*0.85),AND(F71=5,G71&gt;125),(125*1)+((G71-125)*0.85),AND(F71=5.5,G71&gt;135),(135*1)+((G71-135)*0.85),AND(F71=6,G71&gt;145),(145*1)+((G71-145)*0.85),TRUE(),G71)</f>
        <v>103.66</v>
      </c>
      <c r="AA71" s="316">
        <v>-3.5000000000000003E-2</v>
      </c>
      <c r="AC71" s="256" t="s">
        <v>120</v>
      </c>
      <c r="AD71" s="66">
        <v>19</v>
      </c>
      <c r="AE71" s="257" t="s">
        <v>67</v>
      </c>
    </row>
    <row r="72" spans="1:31" ht="15.75" customHeight="1" x14ac:dyDescent="0.3">
      <c r="A72" s="257" t="s">
        <v>67</v>
      </c>
      <c r="B72" s="66">
        <v>130</v>
      </c>
      <c r="C72" s="66">
        <v>20</v>
      </c>
      <c r="D72" s="79" t="s">
        <v>72</v>
      </c>
      <c r="E72" s="79">
        <v>5</v>
      </c>
      <c r="F72" s="67">
        <v>3</v>
      </c>
      <c r="G72" s="267">
        <v>79.989999999999995</v>
      </c>
      <c r="H72" s="267">
        <v>12</v>
      </c>
      <c r="I72" s="295">
        <v>6.72</v>
      </c>
      <c r="J72" s="323">
        <v>1</v>
      </c>
      <c r="K72" s="68">
        <f t="shared" si="39"/>
        <v>1526790.9622799996</v>
      </c>
      <c r="L72" s="79" t="s">
        <v>54</v>
      </c>
      <c r="M72" s="68">
        <f t="shared" si="25"/>
        <v>1473353.2786001996</v>
      </c>
      <c r="N72" s="68">
        <f t="shared" si="26"/>
        <v>1178682.6228801596</v>
      </c>
      <c r="O72" s="68">
        <f t="shared" si="27"/>
        <v>1523447.2900726064</v>
      </c>
      <c r="P72" s="68">
        <f t="shared" si="28"/>
        <v>344764.66719244677</v>
      </c>
      <c r="Q72" s="68">
        <f t="shared" si="29"/>
        <v>1178682.6228801596</v>
      </c>
      <c r="R72" s="137" t="s">
        <v>69</v>
      </c>
      <c r="S72" s="324">
        <v>20</v>
      </c>
      <c r="T72" s="72">
        <f t="shared" si="30"/>
        <v>12</v>
      </c>
      <c r="U72" s="72">
        <f t="shared" si="31"/>
        <v>0</v>
      </c>
      <c r="V72" s="73">
        <f t="shared" si="32"/>
        <v>0</v>
      </c>
      <c r="W72" s="73">
        <f t="shared" si="33"/>
        <v>0</v>
      </c>
      <c r="X72" s="68">
        <f t="shared" si="37"/>
        <v>294670.65572003991</v>
      </c>
      <c r="Y72" s="74">
        <f t="shared" si="35"/>
        <v>294670.65572003991</v>
      </c>
      <c r="Z72" s="62">
        <f t="array" ref="Z72">_xlfn.IFS(AND(F72=3,G72&gt;90),(90*1)+((G72-90)*0.85),AND(F72=3.5,G72&gt;100),(100*1)+((G72-100)*0.85),AND(F72=4,G72&gt;110),(110*1)+((G72-110)*0.85),AND(F72=4.5,G72&gt;120),(120*1)+((G72-120)*0.85),AND(F72=5,G72&gt;125),(125*1)+((G72-125)*0.85),AND(F72=5.5,G72&gt;135),(135*1)+((G72-135)*0.85),AND(F72=6,G72&gt;145),(145*1)+((G72-145)*0.85),TRUE(),G72)</f>
        <v>79.989999999999995</v>
      </c>
      <c r="AA72" s="316">
        <v>-3.5000000000000003E-2</v>
      </c>
      <c r="AC72" s="256" t="s">
        <v>121</v>
      </c>
      <c r="AD72" s="66">
        <v>20</v>
      </c>
      <c r="AE72" s="257" t="s">
        <v>67</v>
      </c>
    </row>
    <row r="73" spans="1:31" ht="15.6" x14ac:dyDescent="0.3">
      <c r="A73" s="257" t="s">
        <v>67</v>
      </c>
      <c r="B73" s="66">
        <v>130</v>
      </c>
      <c r="C73" s="66">
        <v>21</v>
      </c>
      <c r="D73" s="79" t="s">
        <v>68</v>
      </c>
      <c r="E73" s="79">
        <v>6</v>
      </c>
      <c r="F73" s="79">
        <v>5</v>
      </c>
      <c r="G73" s="267">
        <v>124.19</v>
      </c>
      <c r="H73" s="267">
        <v>15</v>
      </c>
      <c r="I73" s="295">
        <v>7.25</v>
      </c>
      <c r="J73" s="323">
        <v>2</v>
      </c>
      <c r="K73" s="68">
        <f t="shared" si="39"/>
        <v>2345064.3033999996</v>
      </c>
      <c r="L73" s="67" t="s">
        <v>54</v>
      </c>
      <c r="M73" s="68">
        <f t="shared" si="25"/>
        <v>2274712.3742979998</v>
      </c>
      <c r="N73" s="68">
        <f t="shared" si="26"/>
        <v>1974712.3742979998</v>
      </c>
      <c r="O73" s="68">
        <f t="shared" si="27"/>
        <v>2352052.5950241317</v>
      </c>
      <c r="P73" s="68">
        <f t="shared" si="28"/>
        <v>377340.22072613193</v>
      </c>
      <c r="Q73" s="68">
        <f t="shared" si="29"/>
        <v>1974712.3742979998</v>
      </c>
      <c r="R73" s="78" t="s">
        <v>69</v>
      </c>
      <c r="S73" s="324">
        <v>21</v>
      </c>
      <c r="T73" s="72">
        <f t="shared" si="30"/>
        <v>15</v>
      </c>
      <c r="U73" s="72">
        <f t="shared" si="31"/>
        <v>0</v>
      </c>
      <c r="V73" s="73">
        <f t="shared" si="32"/>
        <v>0</v>
      </c>
      <c r="W73" s="73">
        <f t="shared" si="33"/>
        <v>0</v>
      </c>
      <c r="X73" s="68">
        <f t="shared" si="37"/>
        <v>454942.47485959996</v>
      </c>
      <c r="Y73" s="74">
        <f t="shared" si="35"/>
        <v>300000</v>
      </c>
      <c r="Z73" s="62">
        <f t="array" ref="Z73">_xlfn.IFS(AND(F73=3,G73&gt;90),(90*1)+((G73-90)*0.85),AND(F73=3.5,G73&gt;100),(100*1)+((G73-100)*0.85),AND(F73=4,G73&gt;110),(110*1)+((G73-110)*0.85),AND(F73=4.5,G73&gt;120),(120*1)+((G73-120)*0.85),AND(F73=5,G73&gt;125),(125*1)+((G73-125)*0.85),AND(F73=5.5,G73&gt;135),(135*1)+((G73-135)*0.85),AND(F73=6,G73&gt;145),(145*1)+((G73-145)*0.85),TRUE(),G73)</f>
        <v>124.19</v>
      </c>
      <c r="AA73" s="316">
        <v>-0.03</v>
      </c>
      <c r="AC73" s="256" t="s">
        <v>119</v>
      </c>
      <c r="AD73" s="66">
        <v>21</v>
      </c>
      <c r="AE73" s="257" t="s">
        <v>67</v>
      </c>
    </row>
    <row r="74" spans="1:31" ht="15.6" x14ac:dyDescent="0.3">
      <c r="A74" s="257" t="s">
        <v>67</v>
      </c>
      <c r="B74" s="66">
        <v>130</v>
      </c>
      <c r="C74" s="66">
        <v>22</v>
      </c>
      <c r="D74" s="67" t="s">
        <v>122</v>
      </c>
      <c r="E74" s="67">
        <v>6</v>
      </c>
      <c r="F74" s="67">
        <v>4</v>
      </c>
      <c r="G74" s="259">
        <v>113.37</v>
      </c>
      <c r="H74" s="259">
        <v>14.77</v>
      </c>
      <c r="I74" s="260">
        <v>6.27</v>
      </c>
      <c r="J74" s="323">
        <v>1</v>
      </c>
      <c r="K74" s="68">
        <f t="shared" si="39"/>
        <v>2106623.2014099997</v>
      </c>
      <c r="L74" s="79" t="s">
        <v>54</v>
      </c>
      <c r="M74" s="68">
        <f t="shared" si="25"/>
        <v>2043424.5053676998</v>
      </c>
      <c r="N74" s="68">
        <f t="shared" si="26"/>
        <v>1743424.5053676998</v>
      </c>
      <c r="O74" s="68">
        <f t="shared" si="27"/>
        <v>2112900.9385502017</v>
      </c>
      <c r="P74" s="68">
        <f t="shared" si="28"/>
        <v>369476.43318250193</v>
      </c>
      <c r="Q74" s="68">
        <f t="shared" si="29"/>
        <v>1743424.5053676998</v>
      </c>
      <c r="R74" s="137" t="s">
        <v>69</v>
      </c>
      <c r="S74" s="324">
        <v>22</v>
      </c>
      <c r="T74" s="72">
        <f t="shared" si="30"/>
        <v>14.77</v>
      </c>
      <c r="U74" s="72">
        <f t="shared" si="31"/>
        <v>0</v>
      </c>
      <c r="V74" s="73">
        <f t="shared" si="32"/>
        <v>0</v>
      </c>
      <c r="W74" s="73">
        <f t="shared" si="33"/>
        <v>0</v>
      </c>
      <c r="X74" s="68">
        <f t="shared" si="37"/>
        <v>408684.90107353998</v>
      </c>
      <c r="Y74" s="74">
        <f t="shared" si="35"/>
        <v>300000</v>
      </c>
      <c r="Z74" s="62">
        <f t="array" ref="Z74">_xlfn.IFS(AND(F74=3,G74&gt;90),(90*1)+((G74-90)*0.85),AND(F74=3.5,G74&gt;100),(100*1)+((G74-100)*0.85),AND(F74=4,G74&gt;110),(110*1)+((G74-110)*0.85),AND(F74=4.5,G74&gt;120),(120*1)+((G74-120)*0.85),AND(F74=5,G74&gt;125),(125*1)+((G74-125)*0.85),AND(F74=5.5,G74&gt;135),(135*1)+((G74-135)*0.85),AND(F74=6,G74&gt;145),(145*1)+((G74-145)*0.85),TRUE(),G74)</f>
        <v>112.86450000000001</v>
      </c>
      <c r="AA74" s="316">
        <v>-0.03</v>
      </c>
      <c r="AC74" s="256" t="s">
        <v>101</v>
      </c>
      <c r="AD74" s="66">
        <v>22</v>
      </c>
      <c r="AE74" s="257" t="s">
        <v>67</v>
      </c>
    </row>
    <row r="75" spans="1:31" ht="15.75" customHeight="1" x14ac:dyDescent="0.3">
      <c r="A75" s="257" t="s">
        <v>67</v>
      </c>
      <c r="B75" s="66">
        <v>130</v>
      </c>
      <c r="C75" s="66">
        <v>23</v>
      </c>
      <c r="D75" s="79" t="s">
        <v>71</v>
      </c>
      <c r="E75" s="79">
        <v>6</v>
      </c>
      <c r="F75" s="67">
        <v>4</v>
      </c>
      <c r="G75" s="267">
        <v>103.66</v>
      </c>
      <c r="H75" s="267">
        <v>14.98</v>
      </c>
      <c r="I75" s="295">
        <v>6.72</v>
      </c>
      <c r="J75" s="323">
        <v>1</v>
      </c>
      <c r="K75" s="68">
        <f t="shared" si="39"/>
        <v>1951631.7289199999</v>
      </c>
      <c r="L75" s="79" t="s">
        <v>54</v>
      </c>
      <c r="M75" s="68">
        <f t="shared" si="25"/>
        <v>1893082.7770523999</v>
      </c>
      <c r="N75" s="68">
        <f t="shared" si="26"/>
        <v>1593082.7770523999</v>
      </c>
      <c r="O75" s="68">
        <f t="shared" si="27"/>
        <v>1957447.5914721815</v>
      </c>
      <c r="P75" s="68">
        <f t="shared" si="28"/>
        <v>364364.81441978156</v>
      </c>
      <c r="Q75" s="68">
        <f t="shared" si="29"/>
        <v>1593082.7770523999</v>
      </c>
      <c r="R75" s="137" t="s">
        <v>69</v>
      </c>
      <c r="S75" s="324">
        <v>23</v>
      </c>
      <c r="T75" s="72">
        <f t="shared" si="30"/>
        <v>14.98</v>
      </c>
      <c r="U75" s="72">
        <f t="shared" si="31"/>
        <v>0</v>
      </c>
      <c r="V75" s="73">
        <f t="shared" si="32"/>
        <v>0</v>
      </c>
      <c r="W75" s="73">
        <f t="shared" si="33"/>
        <v>0</v>
      </c>
      <c r="X75" s="68">
        <f t="shared" si="37"/>
        <v>378616.55541048001</v>
      </c>
      <c r="Y75" s="74">
        <f t="shared" si="35"/>
        <v>300000</v>
      </c>
      <c r="Z75" s="62">
        <f t="array" ref="Z75">_xlfn.IFS(AND(F75=3,G75&gt;90),(90*1)+((G75-90)*0.85),AND(F75=3.5,G75&gt;100),(100*1)+((G75-100)*0.85),AND(F75=4,G75&gt;110),(110*1)+((G75-110)*0.85),AND(F75=4.5,G75&gt;120),(120*1)+((G75-120)*0.85),AND(F75=5,G75&gt;125),(125*1)+((G75-125)*0.85),AND(F75=5.5,G75&gt;135),(135*1)+((G75-135)*0.85),AND(F75=6,G75&gt;145),(145*1)+((G75-145)*0.85),TRUE(),G75)</f>
        <v>103.66</v>
      </c>
      <c r="AA75" s="316">
        <v>-0.03</v>
      </c>
      <c r="AC75" s="256" t="s">
        <v>120</v>
      </c>
      <c r="AD75" s="66">
        <v>23</v>
      </c>
      <c r="AE75" s="257" t="s">
        <v>67</v>
      </c>
    </row>
    <row r="76" spans="1:31" ht="15.6" x14ac:dyDescent="0.3">
      <c r="A76" s="257" t="s">
        <v>67</v>
      </c>
      <c r="B76" s="66">
        <v>130</v>
      </c>
      <c r="C76" s="66">
        <v>24</v>
      </c>
      <c r="D76" s="79" t="s">
        <v>72</v>
      </c>
      <c r="E76" s="79">
        <v>6</v>
      </c>
      <c r="F76" s="67">
        <v>3</v>
      </c>
      <c r="G76" s="267">
        <v>79.989999999999995</v>
      </c>
      <c r="H76" s="267">
        <v>12</v>
      </c>
      <c r="I76" s="295">
        <v>6.72</v>
      </c>
      <c r="J76" s="323">
        <v>1</v>
      </c>
      <c r="K76" s="68">
        <f t="shared" si="39"/>
        <v>1526790.9622799996</v>
      </c>
      <c r="L76" s="79" t="s">
        <v>54</v>
      </c>
      <c r="M76" s="68">
        <f t="shared" si="25"/>
        <v>1480987.2334115996</v>
      </c>
      <c r="N76" s="68">
        <f t="shared" si="26"/>
        <v>1184789.7867292797</v>
      </c>
      <c r="O76" s="68">
        <f t="shared" si="27"/>
        <v>1531340.7993475941</v>
      </c>
      <c r="P76" s="68">
        <f t="shared" si="28"/>
        <v>346551.01261831447</v>
      </c>
      <c r="Q76" s="68">
        <f t="shared" si="29"/>
        <v>1184789.7867292797</v>
      </c>
      <c r="R76" s="137" t="s">
        <v>69</v>
      </c>
      <c r="S76" s="324">
        <v>24</v>
      </c>
      <c r="T76" s="72">
        <f t="shared" si="30"/>
        <v>12</v>
      </c>
      <c r="U76" s="72">
        <f t="shared" si="31"/>
        <v>0</v>
      </c>
      <c r="V76" s="73">
        <f t="shared" si="32"/>
        <v>0</v>
      </c>
      <c r="W76" s="73">
        <f t="shared" si="33"/>
        <v>0</v>
      </c>
      <c r="X76" s="68">
        <f t="shared" si="37"/>
        <v>296197.44668231992</v>
      </c>
      <c r="Y76" s="74">
        <f t="shared" si="35"/>
        <v>296197.44668231992</v>
      </c>
      <c r="Z76" s="62">
        <f t="array" ref="Z76">_xlfn.IFS(AND(F76=3,G76&gt;90),(90*1)+((G76-90)*0.85),AND(F76=3.5,G76&gt;100),(100*1)+((G76-100)*0.85),AND(F76=4,G76&gt;110),(110*1)+((G76-110)*0.85),AND(F76=4.5,G76&gt;120),(120*1)+((G76-120)*0.85),AND(F76=5,G76&gt;125),(125*1)+((G76-125)*0.85),AND(F76=5.5,G76&gt;135),(135*1)+((G76-135)*0.85),AND(F76=6,G76&gt;145),(145*1)+((G76-145)*0.85),TRUE(),G76)</f>
        <v>79.989999999999995</v>
      </c>
      <c r="AA76" s="316">
        <v>-0.03</v>
      </c>
      <c r="AC76" s="256" t="s">
        <v>121</v>
      </c>
      <c r="AD76" s="66">
        <v>24</v>
      </c>
      <c r="AE76" s="257" t="s">
        <v>67</v>
      </c>
    </row>
    <row r="77" spans="1:31" ht="15.6" x14ac:dyDescent="0.3">
      <c r="A77" s="257" t="s">
        <v>67</v>
      </c>
      <c r="B77" s="66">
        <v>130</v>
      </c>
      <c r="C77" s="66">
        <v>25</v>
      </c>
      <c r="D77" s="79" t="s">
        <v>68</v>
      </c>
      <c r="E77" s="79">
        <v>7</v>
      </c>
      <c r="F77" s="79">
        <v>5</v>
      </c>
      <c r="G77" s="267">
        <v>124.19</v>
      </c>
      <c r="H77" s="267">
        <v>15</v>
      </c>
      <c r="I77" s="295">
        <v>7.25</v>
      </c>
      <c r="J77" s="323">
        <v>2</v>
      </c>
      <c r="K77" s="68">
        <f t="shared" si="39"/>
        <v>2345064.3033999996</v>
      </c>
      <c r="L77" s="67" t="s">
        <v>54</v>
      </c>
      <c r="M77" s="68">
        <f t="shared" si="25"/>
        <v>2286437.6958149998</v>
      </c>
      <c r="N77" s="68">
        <f t="shared" si="26"/>
        <v>1986437.6958149998</v>
      </c>
      <c r="O77" s="68">
        <f t="shared" si="27"/>
        <v>2364176.5774727096</v>
      </c>
      <c r="P77" s="68">
        <f t="shared" si="28"/>
        <v>377738.88165770983</v>
      </c>
      <c r="Q77" s="68">
        <f t="shared" si="29"/>
        <v>1986437.6958149998</v>
      </c>
      <c r="R77" s="137" t="s">
        <v>69</v>
      </c>
      <c r="S77" s="324">
        <v>25</v>
      </c>
      <c r="T77" s="72">
        <f t="shared" si="30"/>
        <v>15</v>
      </c>
      <c r="U77" s="72">
        <f t="shared" si="31"/>
        <v>0</v>
      </c>
      <c r="V77" s="73">
        <f t="shared" si="32"/>
        <v>0</v>
      </c>
      <c r="W77" s="73">
        <f t="shared" si="33"/>
        <v>0</v>
      </c>
      <c r="X77" s="68">
        <f t="shared" si="37"/>
        <v>457287.53916299995</v>
      </c>
      <c r="Y77" s="74">
        <f t="shared" si="35"/>
        <v>300000</v>
      </c>
      <c r="Z77" s="62">
        <f t="array" ref="Z77">_xlfn.IFS(AND(F77=3,G77&gt;90),(90*1)+((G77-90)*0.85),AND(F77=3.5,G77&gt;100),(100*1)+((G77-100)*0.85),AND(F77=4,G77&gt;110),(110*1)+((G77-110)*0.85),AND(F77=4.5,G77&gt;120),(120*1)+((G77-120)*0.85),AND(F77=5,G77&gt;125),(125*1)+((G77-125)*0.85),AND(F77=5.5,G77&gt;135),(135*1)+((G77-135)*0.85),AND(F77=6,G77&gt;145),(145*1)+((G77-145)*0.85),TRUE(),G77)</f>
        <v>124.19</v>
      </c>
      <c r="AA77" s="316">
        <v>-2.5000000000000001E-2</v>
      </c>
      <c r="AC77" s="256" t="s">
        <v>119</v>
      </c>
      <c r="AD77" s="66">
        <v>25</v>
      </c>
      <c r="AE77" s="257" t="s">
        <v>67</v>
      </c>
    </row>
    <row r="78" spans="1:31" ht="15.6" x14ac:dyDescent="0.3">
      <c r="A78" s="257" t="s">
        <v>67</v>
      </c>
      <c r="B78" s="66">
        <v>130</v>
      </c>
      <c r="C78" s="66">
        <v>26</v>
      </c>
      <c r="D78" s="67" t="s">
        <v>70</v>
      </c>
      <c r="E78" s="67">
        <v>7</v>
      </c>
      <c r="F78" s="67">
        <v>4</v>
      </c>
      <c r="G78" s="259">
        <v>113.37</v>
      </c>
      <c r="H78" s="259">
        <v>19.38</v>
      </c>
      <c r="I78" s="260">
        <v>6.27</v>
      </c>
      <c r="J78" s="323">
        <v>1</v>
      </c>
      <c r="K78" s="68"/>
      <c r="L78" s="67" t="s">
        <v>47</v>
      </c>
      <c r="M78" s="68"/>
      <c r="N78" s="68"/>
      <c r="O78" s="68"/>
      <c r="P78" s="68"/>
      <c r="Q78" s="68"/>
      <c r="R78" s="137" t="s">
        <v>69</v>
      </c>
      <c r="S78" s="324">
        <v>26</v>
      </c>
      <c r="T78" s="72">
        <f t="shared" si="30"/>
        <v>19.38</v>
      </c>
      <c r="U78" s="72">
        <f t="shared" si="31"/>
        <v>0</v>
      </c>
      <c r="V78" s="73">
        <f t="shared" si="32"/>
        <v>0</v>
      </c>
      <c r="W78" s="73">
        <f t="shared" si="33"/>
        <v>0</v>
      </c>
      <c r="X78" s="68">
        <f t="shared" si="37"/>
        <v>0</v>
      </c>
      <c r="Y78" s="74">
        <f t="shared" si="35"/>
        <v>0</v>
      </c>
      <c r="Z78" s="62">
        <f t="array" ref="Z78">_xlfn.IFS(AND(F78=3,G78&gt;90),(90*1)+((G78-90)*0.85),AND(F78=3.5,G78&gt;100),(100*1)+((G78-100)*0.85),AND(F78=4,G78&gt;110),(110*1)+((G78-110)*0.85),AND(F78=4.5,G78&gt;120),(120*1)+((G78-120)*0.85),AND(F78=5,G78&gt;125),(125*1)+((G78-125)*0.85),AND(F78=5.5,G78&gt;135),(135*1)+((G78-135)*0.85),AND(F78=6,G78&gt;145),(145*1)+((G78-145)*0.85),TRUE(),G78)</f>
        <v>112.86450000000001</v>
      </c>
      <c r="AA78" s="316">
        <v>-2.5000000000000001E-2</v>
      </c>
      <c r="AC78" s="256" t="s">
        <v>101</v>
      </c>
      <c r="AD78" s="66">
        <v>26</v>
      </c>
      <c r="AE78" s="257" t="s">
        <v>67</v>
      </c>
    </row>
    <row r="79" spans="1:31" ht="15.6" x14ac:dyDescent="0.3">
      <c r="A79" s="257" t="s">
        <v>67</v>
      </c>
      <c r="B79" s="66">
        <v>130</v>
      </c>
      <c r="C79" s="66">
        <v>27</v>
      </c>
      <c r="D79" s="79" t="s">
        <v>71</v>
      </c>
      <c r="E79" s="79">
        <v>7</v>
      </c>
      <c r="F79" s="67">
        <v>4</v>
      </c>
      <c r="G79" s="267">
        <v>103.66</v>
      </c>
      <c r="H79" s="267">
        <v>14.98</v>
      </c>
      <c r="I79" s="295">
        <v>6.72</v>
      </c>
      <c r="J79" s="323">
        <v>1</v>
      </c>
      <c r="K79" s="68">
        <f t="shared" ref="K79:K84" si="40">(SUMPRODUCT(H79:J79,$H$9:$J$9)+$G$9*Z79+SUMPRODUCT(T79:W79,$T$9:$W$9))*$I$5</f>
        <v>1951631.7289199999</v>
      </c>
      <c r="L79" s="79" t="s">
        <v>54</v>
      </c>
      <c r="M79" s="68">
        <f t="shared" si="25"/>
        <v>1902840.9356969998</v>
      </c>
      <c r="N79" s="68">
        <f t="shared" si="26"/>
        <v>1602840.9356969998</v>
      </c>
      <c r="O79" s="68">
        <f t="shared" si="27"/>
        <v>1967537.5275106977</v>
      </c>
      <c r="P79" s="68">
        <f t="shared" si="28"/>
        <v>364696.59181369795</v>
      </c>
      <c r="Q79" s="68">
        <f t="shared" si="29"/>
        <v>1602840.9356969998</v>
      </c>
      <c r="R79" s="137" t="s">
        <v>69</v>
      </c>
      <c r="S79" s="324">
        <v>27</v>
      </c>
      <c r="T79" s="72">
        <f t="shared" si="30"/>
        <v>14.98</v>
      </c>
      <c r="U79" s="72">
        <f t="shared" si="31"/>
        <v>0</v>
      </c>
      <c r="V79" s="73">
        <f t="shared" si="32"/>
        <v>0</v>
      </c>
      <c r="W79" s="73">
        <f t="shared" si="33"/>
        <v>0</v>
      </c>
      <c r="X79" s="68">
        <f t="shared" si="37"/>
        <v>380568.18713939999</v>
      </c>
      <c r="Y79" s="74">
        <f t="shared" si="35"/>
        <v>300000</v>
      </c>
      <c r="Z79" s="62">
        <f t="array" ref="Z79">_xlfn.IFS(AND(F79=3,G79&gt;90),(90*1)+((G79-90)*0.85),AND(F79=3.5,G79&gt;100),(100*1)+((G79-100)*0.85),AND(F79=4,G79&gt;110),(110*1)+((G79-110)*0.85),AND(F79=4.5,G79&gt;120),(120*1)+((G79-120)*0.85),AND(F79=5,G79&gt;125),(125*1)+((G79-125)*0.85),AND(F79=5.5,G79&gt;135),(135*1)+((G79-135)*0.85),AND(F79=6,G79&gt;145),(145*1)+((G79-145)*0.85),TRUE(),G79)</f>
        <v>103.66</v>
      </c>
      <c r="AA79" s="316">
        <v>-2.5000000000000001E-2</v>
      </c>
      <c r="AC79" s="256" t="s">
        <v>120</v>
      </c>
      <c r="AD79" s="66">
        <v>27</v>
      </c>
      <c r="AE79" s="257" t="s">
        <v>67</v>
      </c>
    </row>
    <row r="80" spans="1:31" ht="15.6" x14ac:dyDescent="0.3">
      <c r="A80" s="257" t="s">
        <v>67</v>
      </c>
      <c r="B80" s="66">
        <v>130</v>
      </c>
      <c r="C80" s="66">
        <v>28</v>
      </c>
      <c r="D80" s="79" t="s">
        <v>72</v>
      </c>
      <c r="E80" s="79">
        <v>7</v>
      </c>
      <c r="F80" s="67">
        <v>3</v>
      </c>
      <c r="G80" s="267">
        <v>79.989999999999995</v>
      </c>
      <c r="H80" s="267">
        <v>12</v>
      </c>
      <c r="I80" s="295">
        <v>6.72</v>
      </c>
      <c r="J80" s="323">
        <v>1</v>
      </c>
      <c r="K80" s="68">
        <f t="shared" si="40"/>
        <v>1526790.9622799996</v>
      </c>
      <c r="L80" s="79" t="s">
        <v>54</v>
      </c>
      <c r="M80" s="68">
        <f t="shared" si="25"/>
        <v>1488621.1882229997</v>
      </c>
      <c r="N80" s="68">
        <f t="shared" si="26"/>
        <v>1190896.9505783997</v>
      </c>
      <c r="O80" s="68">
        <f t="shared" si="27"/>
        <v>1539234.3086225817</v>
      </c>
      <c r="P80" s="68">
        <f t="shared" si="28"/>
        <v>348337.35804418195</v>
      </c>
      <c r="Q80" s="68">
        <f t="shared" si="29"/>
        <v>1190896.9505783997</v>
      </c>
      <c r="R80" s="137" t="s">
        <v>69</v>
      </c>
      <c r="S80" s="324">
        <v>28</v>
      </c>
      <c r="T80" s="72">
        <f t="shared" si="30"/>
        <v>12</v>
      </c>
      <c r="U80" s="72">
        <f t="shared" si="31"/>
        <v>0</v>
      </c>
      <c r="V80" s="73">
        <f t="shared" si="32"/>
        <v>0</v>
      </c>
      <c r="W80" s="73">
        <f t="shared" si="33"/>
        <v>0</v>
      </c>
      <c r="X80" s="68">
        <f t="shared" si="37"/>
        <v>297724.23764459993</v>
      </c>
      <c r="Y80" s="74">
        <f t="shared" si="35"/>
        <v>297724.23764459993</v>
      </c>
      <c r="Z80" s="62">
        <f t="array" ref="Z80">_xlfn.IFS(AND(F80=3,G80&gt;90),(90*1)+((G80-90)*0.85),AND(F80=3.5,G80&gt;100),(100*1)+((G80-100)*0.85),AND(F80=4,G80&gt;110),(110*1)+((G80-110)*0.85),AND(F80=4.5,G80&gt;120),(120*1)+((G80-120)*0.85),AND(F80=5,G80&gt;125),(125*1)+((G80-125)*0.85),AND(F80=5.5,G80&gt;135),(135*1)+((G80-135)*0.85),AND(F80=6,G80&gt;145),(145*1)+((G80-145)*0.85),TRUE(),G80)</f>
        <v>79.989999999999995</v>
      </c>
      <c r="AA80" s="316">
        <v>-2.5000000000000001E-2</v>
      </c>
      <c r="AC80" s="256" t="s">
        <v>121</v>
      </c>
      <c r="AD80" s="66">
        <v>28</v>
      </c>
      <c r="AE80" s="257" t="s">
        <v>67</v>
      </c>
    </row>
    <row r="81" spans="1:31" ht="15.6" x14ac:dyDescent="0.3">
      <c r="A81" s="257" t="s">
        <v>67</v>
      </c>
      <c r="B81" s="66">
        <v>130</v>
      </c>
      <c r="C81" s="66">
        <v>29</v>
      </c>
      <c r="D81" s="79" t="s">
        <v>68</v>
      </c>
      <c r="E81" s="79">
        <v>8</v>
      </c>
      <c r="F81" s="79">
        <v>5</v>
      </c>
      <c r="G81" s="267">
        <v>124.19</v>
      </c>
      <c r="H81" s="267">
        <v>15</v>
      </c>
      <c r="I81" s="295">
        <v>7.25</v>
      </c>
      <c r="J81" s="323">
        <v>2</v>
      </c>
      <c r="K81" s="68">
        <f t="shared" si="40"/>
        <v>2345064.3033999996</v>
      </c>
      <c r="L81" s="67" t="s">
        <v>54</v>
      </c>
      <c r="M81" s="68">
        <f t="shared" si="25"/>
        <v>2298163.0173319997</v>
      </c>
      <c r="N81" s="68">
        <f t="shared" si="26"/>
        <v>1998163.0173319997</v>
      </c>
      <c r="O81" s="68">
        <f t="shared" si="27"/>
        <v>2376300.5599212879</v>
      </c>
      <c r="P81" s="68">
        <f t="shared" si="28"/>
        <v>378137.5425892882</v>
      </c>
      <c r="Q81" s="68">
        <f t="shared" si="29"/>
        <v>1998163.0173319997</v>
      </c>
      <c r="R81" s="137" t="s">
        <v>69</v>
      </c>
      <c r="S81" s="324">
        <v>29</v>
      </c>
      <c r="T81" s="72">
        <f t="shared" si="30"/>
        <v>15</v>
      </c>
      <c r="U81" s="72">
        <f t="shared" si="31"/>
        <v>0</v>
      </c>
      <c r="V81" s="73">
        <f t="shared" si="32"/>
        <v>0</v>
      </c>
      <c r="W81" s="73">
        <f t="shared" si="33"/>
        <v>0</v>
      </c>
      <c r="X81" s="68">
        <f t="shared" si="37"/>
        <v>459632.60346639995</v>
      </c>
      <c r="Y81" s="74">
        <f t="shared" si="35"/>
        <v>300000</v>
      </c>
      <c r="Z81" s="62">
        <f t="array" ref="Z81">_xlfn.IFS(AND(F81=3,G81&gt;90),(90*1)+((G81-90)*0.85),AND(F81=3.5,G81&gt;100),(100*1)+((G81-100)*0.85),AND(F81=4,G81&gt;110),(110*1)+((G81-110)*0.85),AND(F81=4.5,G81&gt;120),(120*1)+((G81-120)*0.85),AND(F81=5,G81&gt;125),(125*1)+((G81-125)*0.85),AND(F81=5.5,G81&gt;135),(135*1)+((G81-135)*0.85),AND(F81=6,G81&gt;145),(145*1)+((G81-145)*0.85),TRUE(),G81)</f>
        <v>124.19</v>
      </c>
      <c r="AA81" s="316">
        <v>-0.02</v>
      </c>
      <c r="AC81" s="256" t="s">
        <v>119</v>
      </c>
      <c r="AD81" s="66">
        <v>29</v>
      </c>
      <c r="AE81" s="257" t="s">
        <v>67</v>
      </c>
    </row>
    <row r="82" spans="1:31" ht="15.6" x14ac:dyDescent="0.3">
      <c r="A82" s="257" t="s">
        <v>67</v>
      </c>
      <c r="B82" s="66">
        <v>130</v>
      </c>
      <c r="C82" s="66">
        <v>30</v>
      </c>
      <c r="D82" s="67" t="s">
        <v>122</v>
      </c>
      <c r="E82" s="67">
        <v>8</v>
      </c>
      <c r="F82" s="67">
        <v>4</v>
      </c>
      <c r="G82" s="259">
        <v>113.37</v>
      </c>
      <c r="H82" s="259">
        <v>14.77</v>
      </c>
      <c r="I82" s="260">
        <v>6.27</v>
      </c>
      <c r="J82" s="323">
        <v>1</v>
      </c>
      <c r="K82" s="68">
        <f t="shared" si="40"/>
        <v>2106623.2014099997</v>
      </c>
      <c r="L82" s="67" t="s">
        <v>54</v>
      </c>
      <c r="M82" s="68">
        <f t="shared" si="25"/>
        <v>2064490.7373817996</v>
      </c>
      <c r="N82" s="68">
        <f t="shared" si="26"/>
        <v>1764490.7373817996</v>
      </c>
      <c r="O82" s="68">
        <f t="shared" si="27"/>
        <v>2134683.4224527809</v>
      </c>
      <c r="P82" s="68">
        <f t="shared" si="28"/>
        <v>370192.68507098127</v>
      </c>
      <c r="Q82" s="68">
        <f t="shared" si="29"/>
        <v>1764490.7373817996</v>
      </c>
      <c r="R82" s="137" t="s">
        <v>69</v>
      </c>
      <c r="S82" s="324">
        <v>30</v>
      </c>
      <c r="T82" s="72">
        <f t="shared" si="30"/>
        <v>14.77</v>
      </c>
      <c r="U82" s="72">
        <f t="shared" si="31"/>
        <v>0</v>
      </c>
      <c r="V82" s="73">
        <f t="shared" si="32"/>
        <v>0</v>
      </c>
      <c r="W82" s="73">
        <f t="shared" si="33"/>
        <v>0</v>
      </c>
      <c r="X82" s="68">
        <f t="shared" si="37"/>
        <v>412898.14747635997</v>
      </c>
      <c r="Y82" s="74">
        <f t="shared" si="35"/>
        <v>300000</v>
      </c>
      <c r="Z82" s="62">
        <f t="array" ref="Z82">_xlfn.IFS(AND(F82=3,G82&gt;90),(90*1)+((G82-90)*0.85),AND(F82=3.5,G82&gt;100),(100*1)+((G82-100)*0.85),AND(F82=4,G82&gt;110),(110*1)+((G82-110)*0.85),AND(F82=4.5,G82&gt;120),(120*1)+((G82-120)*0.85),AND(F82=5,G82&gt;125),(125*1)+((G82-125)*0.85),AND(F82=5.5,G82&gt;135),(135*1)+((G82-135)*0.85),AND(F82=6,G82&gt;145),(145*1)+((G82-145)*0.85),TRUE(),G82)</f>
        <v>112.86450000000001</v>
      </c>
      <c r="AA82" s="316">
        <v>-0.02</v>
      </c>
      <c r="AC82" s="256" t="s">
        <v>101</v>
      </c>
      <c r="AD82" s="66">
        <v>30</v>
      </c>
      <c r="AE82" s="257" t="s">
        <v>67</v>
      </c>
    </row>
    <row r="83" spans="1:31" ht="15.75" customHeight="1" x14ac:dyDescent="0.3">
      <c r="A83" s="257" t="s">
        <v>67</v>
      </c>
      <c r="B83" s="66">
        <v>130</v>
      </c>
      <c r="C83" s="66">
        <v>31</v>
      </c>
      <c r="D83" s="79" t="s">
        <v>71</v>
      </c>
      <c r="E83" s="79">
        <v>8</v>
      </c>
      <c r="F83" s="67">
        <v>4</v>
      </c>
      <c r="G83" s="267">
        <v>103.66</v>
      </c>
      <c r="H83" s="267">
        <v>14.98</v>
      </c>
      <c r="I83" s="295">
        <v>6.72</v>
      </c>
      <c r="J83" s="323">
        <v>1</v>
      </c>
      <c r="K83" s="68">
        <f t="shared" si="40"/>
        <v>1951631.7289199999</v>
      </c>
      <c r="L83" s="79" t="s">
        <v>54</v>
      </c>
      <c r="M83" s="68">
        <f t="shared" si="25"/>
        <v>1912599.0943415998</v>
      </c>
      <c r="N83" s="68">
        <f t="shared" si="26"/>
        <v>1612599.0943415998</v>
      </c>
      <c r="O83" s="68">
        <f t="shared" si="27"/>
        <v>1977627.4635492144</v>
      </c>
      <c r="P83" s="68">
        <f t="shared" si="28"/>
        <v>365028.36920761457</v>
      </c>
      <c r="Q83" s="68">
        <f t="shared" si="29"/>
        <v>1612599.0943415998</v>
      </c>
      <c r="R83" s="137" t="s">
        <v>69</v>
      </c>
      <c r="S83" s="324">
        <v>31</v>
      </c>
      <c r="T83" s="72">
        <f t="shared" si="30"/>
        <v>14.98</v>
      </c>
      <c r="U83" s="72">
        <f t="shared" si="31"/>
        <v>0</v>
      </c>
      <c r="V83" s="73">
        <f t="shared" si="32"/>
        <v>0</v>
      </c>
      <c r="W83" s="73">
        <f t="shared" si="33"/>
        <v>0</v>
      </c>
      <c r="X83" s="68">
        <f t="shared" si="37"/>
        <v>382519.81886831997</v>
      </c>
      <c r="Y83" s="74">
        <f t="shared" si="35"/>
        <v>300000</v>
      </c>
      <c r="Z83" s="62">
        <f t="array" ref="Z83">_xlfn.IFS(AND(F83=3,G83&gt;90),(90*1)+((G83-90)*0.85),AND(F83=3.5,G83&gt;100),(100*1)+((G83-100)*0.85),AND(F83=4,G83&gt;110),(110*1)+((G83-110)*0.85),AND(F83=4.5,G83&gt;120),(120*1)+((G83-120)*0.85),AND(F83=5,G83&gt;125),(125*1)+((G83-125)*0.85),AND(F83=5.5,G83&gt;135),(135*1)+((G83-135)*0.85),AND(F83=6,G83&gt;145),(145*1)+((G83-145)*0.85),TRUE(),G83)</f>
        <v>103.66</v>
      </c>
      <c r="AA83" s="316">
        <v>-0.02</v>
      </c>
      <c r="AC83" s="256" t="s">
        <v>120</v>
      </c>
      <c r="AD83" s="66">
        <v>31</v>
      </c>
      <c r="AE83" s="257" t="s">
        <v>67</v>
      </c>
    </row>
    <row r="84" spans="1:31" ht="15.6" x14ac:dyDescent="0.3">
      <c r="A84" s="257" t="s">
        <v>67</v>
      </c>
      <c r="B84" s="66">
        <v>130</v>
      </c>
      <c r="C84" s="66">
        <v>32</v>
      </c>
      <c r="D84" s="79" t="s">
        <v>72</v>
      </c>
      <c r="E84" s="79">
        <v>8</v>
      </c>
      <c r="F84" s="67">
        <v>3</v>
      </c>
      <c r="G84" s="267">
        <v>79.989999999999995</v>
      </c>
      <c r="H84" s="267">
        <v>12</v>
      </c>
      <c r="I84" s="295">
        <v>6.72</v>
      </c>
      <c r="J84" s="323">
        <v>1</v>
      </c>
      <c r="K84" s="68">
        <f t="shared" si="40"/>
        <v>1526790.9622799996</v>
      </c>
      <c r="L84" s="79" t="s">
        <v>54</v>
      </c>
      <c r="M84" s="68">
        <f t="shared" si="25"/>
        <v>1496255.1430343997</v>
      </c>
      <c r="N84" s="68">
        <f t="shared" si="26"/>
        <v>1197004.1144275197</v>
      </c>
      <c r="O84" s="68">
        <f t="shared" si="27"/>
        <v>1547127.8178975694</v>
      </c>
      <c r="P84" s="68">
        <f t="shared" si="28"/>
        <v>350123.70347004966</v>
      </c>
      <c r="Q84" s="68">
        <f t="shared" si="29"/>
        <v>1197004.1144275197</v>
      </c>
      <c r="R84" s="137" t="s">
        <v>69</v>
      </c>
      <c r="S84" s="324">
        <v>32</v>
      </c>
      <c r="T84" s="72">
        <f t="shared" si="30"/>
        <v>12</v>
      </c>
      <c r="U84" s="72">
        <f t="shared" si="31"/>
        <v>0</v>
      </c>
      <c r="V84" s="73">
        <f t="shared" si="32"/>
        <v>0</v>
      </c>
      <c r="W84" s="73">
        <f t="shared" si="33"/>
        <v>0</v>
      </c>
      <c r="X84" s="68">
        <f>M84*0.2</f>
        <v>299251.02860687993</v>
      </c>
      <c r="Y84" s="74">
        <f t="shared" si="35"/>
        <v>299251.02860687993</v>
      </c>
      <c r="Z84" s="62">
        <f t="array" ref="Z84">_xlfn.IFS(AND(F84=3,G84&gt;90),(90*1)+((G84-90)*0.85),AND(F84=3.5,G84&gt;100),(100*1)+((G84-100)*0.85),AND(F84=4,G84&gt;110),(110*1)+((G84-110)*0.85),AND(F84=4.5,G84&gt;120),(120*1)+((G84-120)*0.85),AND(F84=5,G84&gt;125),(125*1)+((G84-125)*0.85),AND(F84=5.5,G84&gt;135),(135*1)+((G84-135)*0.85),AND(F84=6,G84&gt;145),(145*1)+((G84-145)*0.85),TRUE(),G84)</f>
        <v>79.989999999999995</v>
      </c>
      <c r="AA84" s="316">
        <v>-0.02</v>
      </c>
      <c r="AC84" s="256" t="s">
        <v>121</v>
      </c>
      <c r="AD84" s="66">
        <v>32</v>
      </c>
      <c r="AE84" s="257" t="s">
        <v>67</v>
      </c>
    </row>
    <row r="85" spans="1:31" ht="15.6" x14ac:dyDescent="0.3">
      <c r="A85" s="257" t="s">
        <v>67</v>
      </c>
      <c r="B85" s="66">
        <v>130</v>
      </c>
      <c r="C85" s="66">
        <v>33</v>
      </c>
      <c r="D85" s="67" t="s">
        <v>74</v>
      </c>
      <c r="E85" s="79">
        <v>9</v>
      </c>
      <c r="F85" s="79">
        <v>5</v>
      </c>
      <c r="G85" s="267">
        <v>124.19</v>
      </c>
      <c r="H85" s="267">
        <v>15</v>
      </c>
      <c r="I85" s="295">
        <v>7.25</v>
      </c>
      <c r="J85" s="323">
        <v>2</v>
      </c>
      <c r="K85" s="68"/>
      <c r="L85" s="67" t="s">
        <v>47</v>
      </c>
      <c r="M85" s="68"/>
      <c r="N85" s="68"/>
      <c r="O85" s="68"/>
      <c r="P85" s="68"/>
      <c r="Q85" s="68"/>
      <c r="R85" s="137" t="s">
        <v>69</v>
      </c>
      <c r="S85" s="324">
        <v>33</v>
      </c>
      <c r="T85" s="72">
        <f t="shared" ref="T85:T116" si="41">IF((H85)&gt;30,30,(H85))</f>
        <v>15</v>
      </c>
      <c r="U85" s="72">
        <f t="shared" ref="U85:U116" si="42">IF((H85-T85)&gt;30,30,(H85-T85))</f>
        <v>0</v>
      </c>
      <c r="V85" s="73">
        <f t="shared" ref="V85:V116" si="43">IF((H85)&gt;120,60,(H85-T85-U85))</f>
        <v>0</v>
      </c>
      <c r="W85" s="73">
        <f t="shared" ref="W85:W116" si="44">IF((H85)&gt;120,(H85-120),0)</f>
        <v>0</v>
      </c>
      <c r="X85" s="68">
        <f t="shared" ref="X85:X116" si="45">K85*0.2</f>
        <v>0</v>
      </c>
      <c r="Y85" s="74">
        <f t="shared" ref="Y85:Y116" si="46">IF(X85&gt;300000,300000,X85)</f>
        <v>0</v>
      </c>
      <c r="Z85" s="62">
        <f t="array" ref="Z85">_xlfn.IFS(AND(F85=3,G85&gt;90),(90*1)+((G85-90)*0.85),AND(F85=3.5,G85&gt;100),(100*1)+((G85-100)*0.85),AND(F85=4,G85&gt;110),(110*1)+((G85-110)*0.85),AND(F85=4.5,G85&gt;120),(120*1)+((G85-120)*0.85),AND(F85=5,G85&gt;125),(125*1)+((G85-125)*0.85),AND(F85=5.5,G85&gt;135),(135*1)+((G85-135)*0.85),AND(F85=6,G85&gt;145),(145*1)+((G85-145)*0.85),TRUE(),G85)</f>
        <v>124.19</v>
      </c>
      <c r="AA85" s="316">
        <v>-1.4999999999999999E-2</v>
      </c>
      <c r="AC85" s="256" t="s">
        <v>119</v>
      </c>
      <c r="AD85" s="66">
        <v>33</v>
      </c>
      <c r="AE85" s="257" t="s">
        <v>67</v>
      </c>
    </row>
    <row r="86" spans="1:31" ht="15.6" x14ac:dyDescent="0.3">
      <c r="A86" s="257" t="s">
        <v>67</v>
      </c>
      <c r="B86" s="66">
        <v>130</v>
      </c>
      <c r="C86" s="66">
        <v>34</v>
      </c>
      <c r="D86" s="67" t="s">
        <v>70</v>
      </c>
      <c r="E86" s="67">
        <v>9</v>
      </c>
      <c r="F86" s="67">
        <v>4</v>
      </c>
      <c r="G86" s="259">
        <v>113.37</v>
      </c>
      <c r="H86" s="259">
        <v>19.38</v>
      </c>
      <c r="I86" s="260">
        <v>6.27</v>
      </c>
      <c r="J86" s="323">
        <v>1</v>
      </c>
      <c r="K86" s="68"/>
      <c r="L86" s="67" t="s">
        <v>47</v>
      </c>
      <c r="M86" s="68"/>
      <c r="N86" s="68"/>
      <c r="O86" s="68"/>
      <c r="P86" s="68"/>
      <c r="Q86" s="68"/>
      <c r="R86" s="137" t="s">
        <v>69</v>
      </c>
      <c r="S86" s="324">
        <v>34</v>
      </c>
      <c r="T86" s="72">
        <f t="shared" si="41"/>
        <v>19.38</v>
      </c>
      <c r="U86" s="72">
        <f t="shared" si="42"/>
        <v>0</v>
      </c>
      <c r="V86" s="73">
        <f t="shared" si="43"/>
        <v>0</v>
      </c>
      <c r="W86" s="73">
        <f t="shared" si="44"/>
        <v>0</v>
      </c>
      <c r="X86" s="68">
        <f t="shared" si="45"/>
        <v>0</v>
      </c>
      <c r="Y86" s="74">
        <f t="shared" si="46"/>
        <v>0</v>
      </c>
      <c r="Z86" s="62">
        <f t="array" ref="Z86">_xlfn.IFS(AND(F86=3,G86&gt;90),(90*1)+((G86-90)*0.85),AND(F86=3.5,G86&gt;100),(100*1)+((G86-100)*0.85),AND(F86=4,G86&gt;110),(110*1)+((G86-110)*0.85),AND(F86=4.5,G86&gt;120),(120*1)+((G86-120)*0.85),AND(F86=5,G86&gt;125),(125*1)+((G86-125)*0.85),AND(F86=5.5,G86&gt;135),(135*1)+((G86-135)*0.85),AND(F86=6,G86&gt;145),(145*1)+((G86-145)*0.85),TRUE(),G86)</f>
        <v>112.86450000000001</v>
      </c>
      <c r="AA86" s="316">
        <v>-1.4999999999999999E-2</v>
      </c>
      <c r="AC86" s="256" t="s">
        <v>101</v>
      </c>
      <c r="AD86" s="66">
        <v>34</v>
      </c>
      <c r="AE86" s="257" t="s">
        <v>67</v>
      </c>
    </row>
    <row r="87" spans="1:31" ht="14.25" customHeight="1" x14ac:dyDescent="0.3">
      <c r="A87" s="257" t="s">
        <v>67</v>
      </c>
      <c r="B87" s="66">
        <v>130</v>
      </c>
      <c r="C87" s="66">
        <v>35</v>
      </c>
      <c r="D87" s="79" t="s">
        <v>71</v>
      </c>
      <c r="E87" s="79">
        <v>9</v>
      </c>
      <c r="F87" s="67">
        <v>4</v>
      </c>
      <c r="G87" s="267">
        <v>103.66</v>
      </c>
      <c r="H87" s="267">
        <v>14.98</v>
      </c>
      <c r="I87" s="295">
        <v>6.72</v>
      </c>
      <c r="J87" s="323">
        <v>1</v>
      </c>
      <c r="K87" s="68">
        <f>(SUMPRODUCT(H87:J87,$H$9:$J$9)+$G$9*Z87+SUMPRODUCT(T87:W87,$T$9:$W$9))*$I$5</f>
        <v>1951631.7289199999</v>
      </c>
      <c r="L87" s="79" t="s">
        <v>54</v>
      </c>
      <c r="M87" s="68">
        <f t="shared" ref="M87:M115" si="47">K87*(1+AA87)</f>
        <v>1922357.2529861999</v>
      </c>
      <c r="N87" s="68">
        <f t="shared" ref="N87:N115" si="48">M87-Y87</f>
        <v>1622357.2529861999</v>
      </c>
      <c r="O87" s="68">
        <f t="shared" ref="O87:O115" si="49">M87*(1+$K$8)</f>
        <v>1987717.3995877309</v>
      </c>
      <c r="P87" s="68">
        <f t="shared" ref="P87:P115" si="50">O87-N87</f>
        <v>365360.14660153096</v>
      </c>
      <c r="Q87" s="68">
        <f t="shared" ref="Q87:Q115" si="51">IF(P87&lt;500000,N87,P87-500000+N87)</f>
        <v>1622357.2529861999</v>
      </c>
      <c r="R87" s="137" t="s">
        <v>69</v>
      </c>
      <c r="S87" s="324">
        <v>35</v>
      </c>
      <c r="T87" s="72">
        <f t="shared" si="41"/>
        <v>14.98</v>
      </c>
      <c r="U87" s="72">
        <f t="shared" si="42"/>
        <v>0</v>
      </c>
      <c r="V87" s="73">
        <f t="shared" si="43"/>
        <v>0</v>
      </c>
      <c r="W87" s="73">
        <f t="shared" si="44"/>
        <v>0</v>
      </c>
      <c r="X87" s="68">
        <f t="shared" si="45"/>
        <v>390326.345784</v>
      </c>
      <c r="Y87" s="74">
        <f t="shared" si="46"/>
        <v>300000</v>
      </c>
      <c r="Z87" s="62">
        <f t="array" ref="Z87">_xlfn.IFS(AND(F87=3,G87&gt;90),(90*1)+((G87-90)*0.85),AND(F87=3.5,G87&gt;100),(100*1)+((G87-100)*0.85),AND(F87=4,G87&gt;110),(110*1)+((G87-110)*0.85),AND(F87=4.5,G87&gt;120),(120*1)+((G87-120)*0.85),AND(F87=5,G87&gt;125),(125*1)+((G87-125)*0.85),AND(F87=5.5,G87&gt;135),(135*1)+((G87-135)*0.85),AND(F87=6,G87&gt;145),(145*1)+((G87-145)*0.85),TRUE(),G87)</f>
        <v>103.66</v>
      </c>
      <c r="AA87" s="316">
        <v>-1.4999999999999999E-2</v>
      </c>
      <c r="AC87" s="256" t="s">
        <v>120</v>
      </c>
      <c r="AD87" s="66">
        <v>35</v>
      </c>
      <c r="AE87" s="257" t="s">
        <v>67</v>
      </c>
    </row>
    <row r="88" spans="1:31" ht="15.6" x14ac:dyDescent="0.3">
      <c r="A88" s="257" t="s">
        <v>67</v>
      </c>
      <c r="B88" s="66">
        <v>130</v>
      </c>
      <c r="C88" s="66">
        <v>36</v>
      </c>
      <c r="D88" s="79" t="s">
        <v>72</v>
      </c>
      <c r="E88" s="79">
        <v>9</v>
      </c>
      <c r="F88" s="67">
        <v>3</v>
      </c>
      <c r="G88" s="267">
        <v>79.989999999999995</v>
      </c>
      <c r="H88" s="267">
        <v>12</v>
      </c>
      <c r="I88" s="295">
        <v>6.72</v>
      </c>
      <c r="J88" s="323">
        <v>1</v>
      </c>
      <c r="K88" s="68">
        <f>(SUMPRODUCT(H88:J88,$H$9:$J$9)+$G$9*Z88+SUMPRODUCT(T88:W88,$T$9:$W$9))*$I$5</f>
        <v>1526790.9622799996</v>
      </c>
      <c r="L88" s="79" t="s">
        <v>54</v>
      </c>
      <c r="M88" s="68">
        <f t="shared" si="47"/>
        <v>1503889.0978457995</v>
      </c>
      <c r="N88" s="68">
        <f t="shared" si="48"/>
        <v>1203889.0978457995</v>
      </c>
      <c r="O88" s="68">
        <f t="shared" si="49"/>
        <v>1555021.3271725567</v>
      </c>
      <c r="P88" s="68">
        <f t="shared" si="50"/>
        <v>351132.22932675714</v>
      </c>
      <c r="Q88" s="68">
        <f t="shared" si="51"/>
        <v>1203889.0978457995</v>
      </c>
      <c r="R88" s="137" t="s">
        <v>69</v>
      </c>
      <c r="S88" s="324">
        <v>36</v>
      </c>
      <c r="T88" s="72">
        <f t="shared" si="41"/>
        <v>12</v>
      </c>
      <c r="U88" s="72">
        <f t="shared" si="42"/>
        <v>0</v>
      </c>
      <c r="V88" s="73">
        <f t="shared" si="43"/>
        <v>0</v>
      </c>
      <c r="W88" s="73">
        <f t="shared" si="44"/>
        <v>0</v>
      </c>
      <c r="X88" s="68">
        <f t="shared" si="45"/>
        <v>305358.19245599996</v>
      </c>
      <c r="Y88" s="74">
        <f t="shared" si="46"/>
        <v>300000</v>
      </c>
      <c r="Z88" s="62">
        <f t="array" ref="Z88">_xlfn.IFS(AND(F88=3,G88&gt;90),(90*1)+((G88-90)*0.85),AND(F88=3.5,G88&gt;100),(100*1)+((G88-100)*0.85),AND(F88=4,G88&gt;110),(110*1)+((G88-110)*0.85),AND(F88=4.5,G88&gt;120),(120*1)+((G88-120)*0.85),AND(F88=5,G88&gt;125),(125*1)+((G88-125)*0.85),AND(F88=5.5,G88&gt;135),(135*1)+((G88-135)*0.85),AND(F88=6,G88&gt;145),(145*1)+((G88-145)*0.85),TRUE(),G88)</f>
        <v>79.989999999999995</v>
      </c>
      <c r="AA88" s="316">
        <v>-1.4999999999999999E-2</v>
      </c>
      <c r="AC88" s="256" t="s">
        <v>121</v>
      </c>
      <c r="AD88" s="66">
        <v>36</v>
      </c>
      <c r="AE88" s="257" t="s">
        <v>67</v>
      </c>
    </row>
    <row r="89" spans="1:31" ht="14.25" customHeight="1" x14ac:dyDescent="0.3">
      <c r="A89" s="257" t="s">
        <v>67</v>
      </c>
      <c r="B89" s="66">
        <v>130</v>
      </c>
      <c r="C89" s="66">
        <v>37</v>
      </c>
      <c r="D89" s="67" t="s">
        <v>74</v>
      </c>
      <c r="E89" s="79">
        <v>10</v>
      </c>
      <c r="F89" s="79">
        <v>5</v>
      </c>
      <c r="G89" s="267">
        <v>124.19</v>
      </c>
      <c r="H89" s="267">
        <v>15</v>
      </c>
      <c r="I89" s="295">
        <v>7.25</v>
      </c>
      <c r="J89" s="323">
        <v>2</v>
      </c>
      <c r="K89" s="68"/>
      <c r="L89" s="67" t="s">
        <v>47</v>
      </c>
      <c r="M89" s="68"/>
      <c r="N89" s="68"/>
      <c r="O89" s="68"/>
      <c r="P89" s="68"/>
      <c r="Q89" s="68"/>
      <c r="R89" s="139" t="s">
        <v>69</v>
      </c>
      <c r="S89" s="324">
        <v>37</v>
      </c>
      <c r="T89" s="72">
        <f t="shared" si="41"/>
        <v>15</v>
      </c>
      <c r="U89" s="72">
        <f t="shared" si="42"/>
        <v>0</v>
      </c>
      <c r="V89" s="73">
        <f t="shared" si="43"/>
        <v>0</v>
      </c>
      <c r="W89" s="73">
        <f t="shared" si="44"/>
        <v>0</v>
      </c>
      <c r="X89" s="68">
        <f t="shared" si="45"/>
        <v>0</v>
      </c>
      <c r="Y89" s="74">
        <f t="shared" si="46"/>
        <v>0</v>
      </c>
      <c r="Z89" s="62">
        <f t="array" ref="Z89">_xlfn.IFS(AND(F89=3,G89&gt;90),(90*1)+((G89-90)*0.85),AND(F89=3.5,G89&gt;100),(100*1)+((G89-100)*0.85),AND(F89=4,G89&gt;110),(110*1)+((G89-110)*0.85),AND(F89=4.5,G89&gt;120),(120*1)+((G89-120)*0.85),AND(F89=5,G89&gt;125),(125*1)+((G89-125)*0.85),AND(F89=5.5,G89&gt;135),(135*1)+((G89-135)*0.85),AND(F89=6,G89&gt;145),(145*1)+((G89-145)*0.85),TRUE(),G89)</f>
        <v>124.19</v>
      </c>
      <c r="AA89" s="316">
        <v>-0.01</v>
      </c>
      <c r="AC89" s="256" t="s">
        <v>119</v>
      </c>
      <c r="AD89" s="66">
        <v>37</v>
      </c>
      <c r="AE89" s="257" t="s">
        <v>67</v>
      </c>
    </row>
    <row r="90" spans="1:31" ht="14.25" customHeight="1" x14ac:dyDescent="0.3">
      <c r="A90" s="257" t="s">
        <v>67</v>
      </c>
      <c r="B90" s="66">
        <v>130</v>
      </c>
      <c r="C90" s="66">
        <v>38</v>
      </c>
      <c r="D90" s="67" t="s">
        <v>123</v>
      </c>
      <c r="E90" s="67">
        <v>10</v>
      </c>
      <c r="F90" s="67">
        <v>4</v>
      </c>
      <c r="G90" s="259">
        <v>113.37</v>
      </c>
      <c r="H90" s="259">
        <v>14.77</v>
      </c>
      <c r="I90" s="260">
        <v>6.27</v>
      </c>
      <c r="J90" s="323">
        <v>1</v>
      </c>
      <c r="K90" s="68"/>
      <c r="L90" s="67" t="s">
        <v>47</v>
      </c>
      <c r="M90" s="68"/>
      <c r="N90" s="68"/>
      <c r="O90" s="68"/>
      <c r="P90" s="68"/>
      <c r="Q90" s="68"/>
      <c r="R90" s="78" t="s">
        <v>69</v>
      </c>
      <c r="S90" s="324">
        <v>38</v>
      </c>
      <c r="T90" s="72">
        <f t="shared" si="41"/>
        <v>14.77</v>
      </c>
      <c r="U90" s="72">
        <f t="shared" si="42"/>
        <v>0</v>
      </c>
      <c r="V90" s="73">
        <f t="shared" si="43"/>
        <v>0</v>
      </c>
      <c r="W90" s="73">
        <f t="shared" si="44"/>
        <v>0</v>
      </c>
      <c r="X90" s="68">
        <f t="shared" si="45"/>
        <v>0</v>
      </c>
      <c r="Y90" s="74">
        <f t="shared" si="46"/>
        <v>0</v>
      </c>
      <c r="Z90" s="62">
        <f t="array" ref="Z90">_xlfn.IFS(AND(F90=3,G90&gt;90),(90*1)+((G90-90)*0.85),AND(F90=3.5,G90&gt;100),(100*1)+((G90-100)*0.85),AND(F90=4,G90&gt;110),(110*1)+((G90-110)*0.85),AND(F90=4.5,G90&gt;120),(120*1)+((G90-120)*0.85),AND(F90=5,G90&gt;125),(125*1)+((G90-125)*0.85),AND(F90=5.5,G90&gt;135),(135*1)+((G90-135)*0.85),AND(F90=6,G90&gt;145),(145*1)+((G90-145)*0.85),TRUE(),G90)</f>
        <v>112.86450000000001</v>
      </c>
      <c r="AA90" s="316">
        <v>-0.01</v>
      </c>
      <c r="AC90" s="256" t="s">
        <v>101</v>
      </c>
      <c r="AD90" s="66">
        <v>38</v>
      </c>
      <c r="AE90" s="257" t="s">
        <v>67</v>
      </c>
    </row>
    <row r="91" spans="1:31" ht="14.25" customHeight="1" x14ac:dyDescent="0.3">
      <c r="A91" s="257" t="s">
        <v>67</v>
      </c>
      <c r="B91" s="66">
        <v>130</v>
      </c>
      <c r="C91" s="66">
        <v>39</v>
      </c>
      <c r="D91" s="79" t="s">
        <v>71</v>
      </c>
      <c r="E91" s="79">
        <v>10</v>
      </c>
      <c r="F91" s="67">
        <v>4</v>
      </c>
      <c r="G91" s="267">
        <v>103.66</v>
      </c>
      <c r="H91" s="267">
        <v>14.98</v>
      </c>
      <c r="I91" s="295">
        <v>6.72</v>
      </c>
      <c r="J91" s="323">
        <v>1</v>
      </c>
      <c r="K91" s="68">
        <f>(SUMPRODUCT(H91:J91,$H$9:$J$9)+$G$9*Z91+SUMPRODUCT(T91:W91,$T$9:$W$9))*$I$5</f>
        <v>1951631.7289199999</v>
      </c>
      <c r="L91" s="79" t="s">
        <v>54</v>
      </c>
      <c r="M91" s="68">
        <f t="shared" si="47"/>
        <v>1932115.4116308</v>
      </c>
      <c r="N91" s="68">
        <f t="shared" si="48"/>
        <v>1632115.4116308</v>
      </c>
      <c r="O91" s="68">
        <f t="shared" si="49"/>
        <v>1997807.3356262473</v>
      </c>
      <c r="P91" s="68">
        <f t="shared" si="50"/>
        <v>365691.92399544735</v>
      </c>
      <c r="Q91" s="68">
        <f t="shared" si="51"/>
        <v>1632115.4116308</v>
      </c>
      <c r="R91" s="78" t="s">
        <v>69</v>
      </c>
      <c r="S91" s="324">
        <v>39</v>
      </c>
      <c r="T91" s="72">
        <f t="shared" si="41"/>
        <v>14.98</v>
      </c>
      <c r="U91" s="72">
        <f t="shared" si="42"/>
        <v>0</v>
      </c>
      <c r="V91" s="73">
        <f t="shared" si="43"/>
        <v>0</v>
      </c>
      <c r="W91" s="73">
        <f t="shared" si="44"/>
        <v>0</v>
      </c>
      <c r="X91" s="68">
        <f t="shared" si="45"/>
        <v>390326.345784</v>
      </c>
      <c r="Y91" s="74">
        <f t="shared" si="46"/>
        <v>300000</v>
      </c>
      <c r="Z91" s="62">
        <f t="array" ref="Z91">_xlfn.IFS(AND(F91=3,G91&gt;90),(90*1)+((G91-90)*0.85),AND(F91=3.5,G91&gt;100),(100*1)+((G91-100)*0.85),AND(F91=4,G91&gt;110),(110*1)+((G91-110)*0.85),AND(F91=4.5,G91&gt;120),(120*1)+((G91-120)*0.85),AND(F91=5,G91&gt;125),(125*1)+((G91-125)*0.85),AND(F91=5.5,G91&gt;135),(135*1)+((G91-135)*0.85),AND(F91=6,G91&gt;145),(145*1)+((G91-145)*0.85),TRUE(),G91)</f>
        <v>103.66</v>
      </c>
      <c r="AA91" s="316">
        <v>-0.01</v>
      </c>
      <c r="AC91" s="256" t="s">
        <v>120</v>
      </c>
      <c r="AD91" s="66">
        <v>39</v>
      </c>
      <c r="AE91" s="257" t="s">
        <v>67</v>
      </c>
    </row>
    <row r="92" spans="1:31" ht="14.25" customHeight="1" x14ac:dyDescent="0.3">
      <c r="A92" s="257" t="s">
        <v>67</v>
      </c>
      <c r="B92" s="66">
        <v>130</v>
      </c>
      <c r="C92" s="66">
        <v>40</v>
      </c>
      <c r="D92" s="79" t="s">
        <v>72</v>
      </c>
      <c r="E92" s="79">
        <v>10</v>
      </c>
      <c r="F92" s="67">
        <v>3</v>
      </c>
      <c r="G92" s="267">
        <v>79.989999999999995</v>
      </c>
      <c r="H92" s="267">
        <v>12</v>
      </c>
      <c r="I92" s="295">
        <v>6.72</v>
      </c>
      <c r="J92" s="323">
        <v>1</v>
      </c>
      <c r="K92" s="68">
        <f>(SUMPRODUCT(H92:J92,$H$9:$J$9)+$G$9*Z92+SUMPRODUCT(T92:W92,$T$9:$W$9))*$I$5</f>
        <v>1526790.9622799996</v>
      </c>
      <c r="L92" s="79" t="s">
        <v>54</v>
      </c>
      <c r="M92" s="68">
        <f t="shared" si="47"/>
        <v>1511523.0526571996</v>
      </c>
      <c r="N92" s="68">
        <f t="shared" si="48"/>
        <v>1211523.0526571996</v>
      </c>
      <c r="O92" s="68">
        <f t="shared" si="49"/>
        <v>1562914.8364475444</v>
      </c>
      <c r="P92" s="68">
        <f t="shared" si="50"/>
        <v>351391.78379034484</v>
      </c>
      <c r="Q92" s="68">
        <f t="shared" si="51"/>
        <v>1211523.0526571996</v>
      </c>
      <c r="R92" s="78" t="s">
        <v>69</v>
      </c>
      <c r="S92" s="324">
        <v>40</v>
      </c>
      <c r="T92" s="72">
        <f t="shared" si="41"/>
        <v>12</v>
      </c>
      <c r="U92" s="72">
        <f t="shared" si="42"/>
        <v>0</v>
      </c>
      <c r="V92" s="73">
        <f t="shared" si="43"/>
        <v>0</v>
      </c>
      <c r="W92" s="73">
        <f t="shared" si="44"/>
        <v>0</v>
      </c>
      <c r="X92" s="68">
        <f t="shared" si="45"/>
        <v>305358.19245599996</v>
      </c>
      <c r="Y92" s="74">
        <f t="shared" si="46"/>
        <v>300000</v>
      </c>
      <c r="Z92" s="62">
        <f t="array" ref="Z92">_xlfn.IFS(AND(F92=3,G92&gt;90),(90*1)+((G92-90)*0.85),AND(F92=3.5,G92&gt;100),(100*1)+((G92-100)*0.85),AND(F92=4,G92&gt;110),(110*1)+((G92-110)*0.85),AND(F92=4.5,G92&gt;120),(120*1)+((G92-120)*0.85),AND(F92=5,G92&gt;125),(125*1)+((G92-125)*0.85),AND(F92=5.5,G92&gt;135),(135*1)+((G92-135)*0.85),AND(F92=6,G92&gt;145),(145*1)+((G92-145)*0.85),TRUE(),G92)</f>
        <v>79.989999999999995</v>
      </c>
      <c r="AA92" s="316">
        <v>-0.01</v>
      </c>
      <c r="AC92" s="256" t="s">
        <v>121</v>
      </c>
      <c r="AD92" s="66">
        <v>40</v>
      </c>
      <c r="AE92" s="257" t="s">
        <v>67</v>
      </c>
    </row>
    <row r="93" spans="1:31" ht="15.6" x14ac:dyDescent="0.3">
      <c r="A93" s="257" t="s">
        <v>67</v>
      </c>
      <c r="B93" s="66">
        <v>130</v>
      </c>
      <c r="C93" s="66">
        <v>41</v>
      </c>
      <c r="D93" s="67" t="s">
        <v>74</v>
      </c>
      <c r="E93" s="67">
        <v>11</v>
      </c>
      <c r="F93" s="67">
        <v>5</v>
      </c>
      <c r="G93" s="259">
        <v>124.19</v>
      </c>
      <c r="H93" s="259">
        <v>15</v>
      </c>
      <c r="I93" s="260">
        <v>7.25</v>
      </c>
      <c r="J93" s="323">
        <v>2</v>
      </c>
      <c r="K93" s="68"/>
      <c r="L93" s="67" t="s">
        <v>47</v>
      </c>
      <c r="M93" s="68"/>
      <c r="N93" s="68"/>
      <c r="O93" s="68"/>
      <c r="P93" s="68"/>
      <c r="Q93" s="68"/>
      <c r="R93" s="139" t="s">
        <v>69</v>
      </c>
      <c r="S93" s="324">
        <v>41</v>
      </c>
      <c r="T93" s="72">
        <f t="shared" si="41"/>
        <v>15</v>
      </c>
      <c r="U93" s="72">
        <f t="shared" si="42"/>
        <v>0</v>
      </c>
      <c r="V93" s="73">
        <f t="shared" si="43"/>
        <v>0</v>
      </c>
      <c r="W93" s="73">
        <f t="shared" si="44"/>
        <v>0</v>
      </c>
      <c r="X93" s="68">
        <f t="shared" si="45"/>
        <v>0</v>
      </c>
      <c r="Y93" s="74">
        <f t="shared" si="46"/>
        <v>0</v>
      </c>
      <c r="Z93" s="62">
        <f t="array" ref="Z93">_xlfn.IFS(AND(F93=3,G93&gt;90),(90*1)+((G93-90)*0.85),AND(F93=3.5,G93&gt;100),(100*1)+((G93-100)*0.85),AND(F93=4,G93&gt;110),(110*1)+((G93-110)*0.85),AND(F93=4.5,G93&gt;120),(120*1)+((G93-120)*0.85),AND(F93=5,G93&gt;125),(125*1)+((G93-125)*0.85),AND(F93=5.5,G93&gt;135),(135*1)+((G93-135)*0.85),AND(F93=6,G93&gt;145),(145*1)+((G93-145)*0.85),TRUE(),G93)</f>
        <v>124.19</v>
      </c>
      <c r="AA93" s="316">
        <v>-5.0000000000000001E-3</v>
      </c>
      <c r="AC93" s="256" t="s">
        <v>119</v>
      </c>
      <c r="AD93" s="66">
        <v>41</v>
      </c>
      <c r="AE93" s="257" t="s">
        <v>67</v>
      </c>
    </row>
    <row r="94" spans="1:31" ht="15.6" x14ac:dyDescent="0.3">
      <c r="A94" s="257" t="s">
        <v>67</v>
      </c>
      <c r="B94" s="66">
        <v>130</v>
      </c>
      <c r="C94" s="66">
        <v>42</v>
      </c>
      <c r="D94" s="67" t="s">
        <v>70</v>
      </c>
      <c r="E94" s="67">
        <v>11</v>
      </c>
      <c r="F94" s="67">
        <v>4</v>
      </c>
      <c r="G94" s="259">
        <v>113.37</v>
      </c>
      <c r="H94" s="259">
        <v>19.38</v>
      </c>
      <c r="I94" s="260">
        <v>6.27</v>
      </c>
      <c r="J94" s="323">
        <v>1</v>
      </c>
      <c r="K94" s="68"/>
      <c r="L94" s="67" t="s">
        <v>47</v>
      </c>
      <c r="M94" s="68"/>
      <c r="N94" s="68"/>
      <c r="O94" s="68"/>
      <c r="P94" s="68"/>
      <c r="Q94" s="68"/>
      <c r="R94" s="139" t="s">
        <v>69</v>
      </c>
      <c r="S94" s="324">
        <v>42</v>
      </c>
      <c r="T94" s="72">
        <f t="shared" si="41"/>
        <v>19.38</v>
      </c>
      <c r="U94" s="72">
        <f t="shared" si="42"/>
        <v>0</v>
      </c>
      <c r="V94" s="73">
        <f t="shared" si="43"/>
        <v>0</v>
      </c>
      <c r="W94" s="73">
        <f t="shared" si="44"/>
        <v>0</v>
      </c>
      <c r="X94" s="68">
        <f t="shared" si="45"/>
        <v>0</v>
      </c>
      <c r="Y94" s="74">
        <f t="shared" si="46"/>
        <v>0</v>
      </c>
      <c r="Z94" s="62">
        <f t="array" ref="Z94">_xlfn.IFS(AND(F94=3,G94&gt;90),(90*1)+((G94-90)*0.85),AND(F94=3.5,G94&gt;100),(100*1)+((G94-100)*0.85),AND(F94=4,G94&gt;110),(110*1)+((G94-110)*0.85),AND(F94=4.5,G94&gt;120),(120*1)+((G94-120)*0.85),AND(F94=5,G94&gt;125),(125*1)+((G94-125)*0.85),AND(F94=5.5,G94&gt;135),(135*1)+((G94-135)*0.85),AND(F94=6,G94&gt;145),(145*1)+((G94-145)*0.85),TRUE(),G94)</f>
        <v>112.86450000000001</v>
      </c>
      <c r="AA94" s="316">
        <v>-5.0000000000000001E-3</v>
      </c>
      <c r="AC94" s="256" t="s">
        <v>101</v>
      </c>
      <c r="AD94" s="66">
        <v>42</v>
      </c>
      <c r="AE94" s="257" t="s">
        <v>67</v>
      </c>
    </row>
    <row r="95" spans="1:31" ht="15.6" x14ac:dyDescent="0.3">
      <c r="A95" s="257" t="s">
        <v>67</v>
      </c>
      <c r="B95" s="66">
        <v>130</v>
      </c>
      <c r="C95" s="66">
        <v>43</v>
      </c>
      <c r="D95" s="79" t="s">
        <v>71</v>
      </c>
      <c r="E95" s="79">
        <v>11</v>
      </c>
      <c r="F95" s="67">
        <v>4</v>
      </c>
      <c r="G95" s="267">
        <v>103.66</v>
      </c>
      <c r="H95" s="267">
        <v>14.98</v>
      </c>
      <c r="I95" s="295">
        <v>6.72</v>
      </c>
      <c r="J95" s="323">
        <v>1</v>
      </c>
      <c r="K95" s="68">
        <f>(SUMPRODUCT(H95:J95,$H$9:$J$9)+$G$9*Z95+SUMPRODUCT(T95:W95,$T$9:$W$9))*$I$5</f>
        <v>1951631.7289199999</v>
      </c>
      <c r="L95" s="79" t="s">
        <v>54</v>
      </c>
      <c r="M95" s="68">
        <f t="shared" si="47"/>
        <v>1941873.5702753998</v>
      </c>
      <c r="N95" s="68">
        <f t="shared" si="48"/>
        <v>1641873.5702753998</v>
      </c>
      <c r="O95" s="68">
        <f t="shared" si="49"/>
        <v>2007897.2716647636</v>
      </c>
      <c r="P95" s="68">
        <f t="shared" si="50"/>
        <v>366023.70138936373</v>
      </c>
      <c r="Q95" s="68">
        <f t="shared" si="51"/>
        <v>1641873.5702753998</v>
      </c>
      <c r="R95" s="139" t="s">
        <v>69</v>
      </c>
      <c r="S95" s="324">
        <v>43</v>
      </c>
      <c r="T95" s="72">
        <f t="shared" si="41"/>
        <v>14.98</v>
      </c>
      <c r="U95" s="72">
        <f t="shared" si="42"/>
        <v>0</v>
      </c>
      <c r="V95" s="73">
        <f t="shared" si="43"/>
        <v>0</v>
      </c>
      <c r="W95" s="73">
        <f t="shared" si="44"/>
        <v>0</v>
      </c>
      <c r="X95" s="68">
        <f t="shared" si="45"/>
        <v>390326.345784</v>
      </c>
      <c r="Y95" s="74">
        <f t="shared" si="46"/>
        <v>300000</v>
      </c>
      <c r="Z95" s="62">
        <f t="array" ref="Z95">_xlfn.IFS(AND(F95=3,G95&gt;90),(90*1)+((G95-90)*0.85),AND(F95=3.5,G95&gt;100),(100*1)+((G95-100)*0.85),AND(F95=4,G95&gt;110),(110*1)+((G95-110)*0.85),AND(F95=4.5,G95&gt;120),(120*1)+((G95-120)*0.85),AND(F95=5,G95&gt;125),(125*1)+((G95-125)*0.85),AND(F95=5.5,G95&gt;135),(135*1)+((G95-135)*0.85),AND(F95=6,G95&gt;145),(145*1)+((G95-145)*0.85),TRUE(),G95)</f>
        <v>103.66</v>
      </c>
      <c r="AA95" s="316">
        <v>-5.0000000000000001E-3</v>
      </c>
      <c r="AC95" s="256" t="s">
        <v>120</v>
      </c>
      <c r="AD95" s="66">
        <v>43</v>
      </c>
      <c r="AE95" s="257" t="s">
        <v>67</v>
      </c>
    </row>
    <row r="96" spans="1:31" ht="15.6" x14ac:dyDescent="0.3">
      <c r="A96" s="257" t="s">
        <v>67</v>
      </c>
      <c r="B96" s="66">
        <v>130</v>
      </c>
      <c r="C96" s="66">
        <v>44</v>
      </c>
      <c r="D96" s="79" t="s">
        <v>72</v>
      </c>
      <c r="E96" s="79">
        <v>11</v>
      </c>
      <c r="F96" s="67">
        <v>3</v>
      </c>
      <c r="G96" s="267">
        <v>79.989999999999995</v>
      </c>
      <c r="H96" s="267">
        <v>12</v>
      </c>
      <c r="I96" s="295">
        <v>6.72</v>
      </c>
      <c r="J96" s="323">
        <v>1</v>
      </c>
      <c r="K96" s="68">
        <f>(SUMPRODUCT(H96:J96,$H$9:$J$9)+$G$9*Z96+SUMPRODUCT(T96:W96,$T$9:$W$9))*$I$5</f>
        <v>1526790.9622799996</v>
      </c>
      <c r="L96" s="79" t="s">
        <v>54</v>
      </c>
      <c r="M96" s="68">
        <f t="shared" si="47"/>
        <v>1519157.0074685996</v>
      </c>
      <c r="N96" s="68">
        <f t="shared" si="48"/>
        <v>1219157.0074685996</v>
      </c>
      <c r="O96" s="68">
        <f t="shared" si="49"/>
        <v>1570808.3457225321</v>
      </c>
      <c r="P96" s="68">
        <f t="shared" si="50"/>
        <v>351651.33825393254</v>
      </c>
      <c r="Q96" s="68">
        <f t="shared" si="51"/>
        <v>1219157.0074685996</v>
      </c>
      <c r="R96" s="139" t="s">
        <v>69</v>
      </c>
      <c r="S96" s="324">
        <v>44</v>
      </c>
      <c r="T96" s="72">
        <f t="shared" si="41"/>
        <v>12</v>
      </c>
      <c r="U96" s="72">
        <f t="shared" si="42"/>
        <v>0</v>
      </c>
      <c r="V96" s="73">
        <f t="shared" si="43"/>
        <v>0</v>
      </c>
      <c r="W96" s="73">
        <f t="shared" si="44"/>
        <v>0</v>
      </c>
      <c r="X96" s="68">
        <f t="shared" si="45"/>
        <v>305358.19245599996</v>
      </c>
      <c r="Y96" s="74">
        <f t="shared" si="46"/>
        <v>300000</v>
      </c>
      <c r="Z96" s="62">
        <f t="array" ref="Z96">_xlfn.IFS(AND(F96=3,G96&gt;90),(90*1)+((G96-90)*0.85),AND(F96=3.5,G96&gt;100),(100*1)+((G96-100)*0.85),AND(F96=4,G96&gt;110),(110*1)+((G96-110)*0.85),AND(F96=4.5,G96&gt;120),(120*1)+((G96-120)*0.85),AND(F96=5,G96&gt;125),(125*1)+((G96-125)*0.85),AND(F96=5.5,G96&gt;135),(135*1)+((G96-135)*0.85),AND(F96=6,G96&gt;145),(145*1)+((G96-145)*0.85),TRUE(),G96)</f>
        <v>79.989999999999995</v>
      </c>
      <c r="AA96" s="316">
        <v>-5.0000000000000001E-3</v>
      </c>
      <c r="AC96" s="256" t="s">
        <v>121</v>
      </c>
      <c r="AD96" s="66">
        <v>44</v>
      </c>
      <c r="AE96" s="257" t="s">
        <v>67</v>
      </c>
    </row>
    <row r="97" spans="1:31" ht="15.6" x14ac:dyDescent="0.3">
      <c r="A97" s="257" t="s">
        <v>67</v>
      </c>
      <c r="B97" s="66">
        <v>130</v>
      </c>
      <c r="C97" s="66">
        <v>45</v>
      </c>
      <c r="D97" s="67" t="s">
        <v>74</v>
      </c>
      <c r="E97" s="67">
        <v>12</v>
      </c>
      <c r="F97" s="67">
        <v>5</v>
      </c>
      <c r="G97" s="259">
        <v>124.19</v>
      </c>
      <c r="H97" s="259">
        <v>15</v>
      </c>
      <c r="I97" s="260">
        <v>7.25</v>
      </c>
      <c r="J97" s="323">
        <v>2</v>
      </c>
      <c r="K97" s="68"/>
      <c r="L97" s="67" t="s">
        <v>47</v>
      </c>
      <c r="M97" s="68"/>
      <c r="N97" s="68"/>
      <c r="O97" s="68"/>
      <c r="P97" s="68"/>
      <c r="Q97" s="68"/>
      <c r="R97" s="70" t="s">
        <v>69</v>
      </c>
      <c r="S97" s="324">
        <v>45</v>
      </c>
      <c r="T97" s="72">
        <f t="shared" si="41"/>
        <v>15</v>
      </c>
      <c r="U97" s="72">
        <f t="shared" si="42"/>
        <v>0</v>
      </c>
      <c r="V97" s="73">
        <f t="shared" si="43"/>
        <v>0</v>
      </c>
      <c r="W97" s="73">
        <f t="shared" si="44"/>
        <v>0</v>
      </c>
      <c r="X97" s="68">
        <f t="shared" si="45"/>
        <v>0</v>
      </c>
      <c r="Y97" s="74">
        <f t="shared" si="46"/>
        <v>0</v>
      </c>
      <c r="Z97" s="62">
        <f t="array" ref="Z97">_xlfn.IFS(AND(F97=3,G97&gt;90),(90*1)+((G97-90)*0.85),AND(F97=3.5,G97&gt;100),(100*1)+((G97-100)*0.85),AND(F97=4,G97&gt;110),(110*1)+((G97-110)*0.85),AND(F97=4.5,G97&gt;120),(120*1)+((G97-120)*0.85),AND(F97=5,G97&gt;125),(125*1)+((G97-125)*0.85),AND(F97=5.5,G97&gt;135),(135*1)+((G97-135)*0.85),AND(F97=6,G97&gt;145),(145*1)+((G97-145)*0.85),TRUE(),G97)</f>
        <v>124.19</v>
      </c>
      <c r="AA97" s="316">
        <v>0</v>
      </c>
      <c r="AC97" s="256" t="s">
        <v>119</v>
      </c>
      <c r="AD97" s="66">
        <v>45</v>
      </c>
      <c r="AE97" s="257" t="s">
        <v>67</v>
      </c>
    </row>
    <row r="98" spans="1:31" ht="15.6" x14ac:dyDescent="0.3">
      <c r="A98" s="257" t="s">
        <v>67</v>
      </c>
      <c r="B98" s="66">
        <v>130</v>
      </c>
      <c r="C98" s="66">
        <v>46</v>
      </c>
      <c r="D98" s="67" t="s">
        <v>123</v>
      </c>
      <c r="E98" s="67">
        <v>12</v>
      </c>
      <c r="F98" s="67">
        <v>4</v>
      </c>
      <c r="G98" s="259">
        <v>113.37</v>
      </c>
      <c r="H98" s="259">
        <v>14.77</v>
      </c>
      <c r="I98" s="260">
        <v>6.27</v>
      </c>
      <c r="J98" s="323">
        <v>1</v>
      </c>
      <c r="K98" s="68"/>
      <c r="L98" s="67" t="s">
        <v>47</v>
      </c>
      <c r="M98" s="68"/>
      <c r="N98" s="68"/>
      <c r="O98" s="68"/>
      <c r="P98" s="68"/>
      <c r="Q98" s="68"/>
      <c r="R98" s="70" t="s">
        <v>69</v>
      </c>
      <c r="S98" s="324">
        <v>46</v>
      </c>
      <c r="T98" s="72">
        <f t="shared" si="41"/>
        <v>14.77</v>
      </c>
      <c r="U98" s="72">
        <f t="shared" si="42"/>
        <v>0</v>
      </c>
      <c r="V98" s="73">
        <f t="shared" si="43"/>
        <v>0</v>
      </c>
      <c r="W98" s="73">
        <f t="shared" si="44"/>
        <v>0</v>
      </c>
      <c r="X98" s="68">
        <f t="shared" si="45"/>
        <v>0</v>
      </c>
      <c r="Y98" s="74">
        <f t="shared" si="46"/>
        <v>0</v>
      </c>
      <c r="Z98" s="62">
        <f t="array" ref="Z98">_xlfn.IFS(AND(F98=3,G98&gt;90),(90*1)+((G98-90)*0.85),AND(F98=3.5,G98&gt;100),(100*1)+((G98-100)*0.85),AND(F98=4,G98&gt;110),(110*1)+((G98-110)*0.85),AND(F98=4.5,G98&gt;120),(120*1)+((G98-120)*0.85),AND(F98=5,G98&gt;125),(125*1)+((G98-125)*0.85),AND(F98=5.5,G98&gt;135),(135*1)+((G98-135)*0.85),AND(F98=6,G98&gt;145),(145*1)+((G98-145)*0.85),TRUE(),G98)</f>
        <v>112.86450000000001</v>
      </c>
      <c r="AA98" s="316">
        <v>0</v>
      </c>
      <c r="AC98" s="256" t="s">
        <v>101</v>
      </c>
      <c r="AD98" s="66">
        <v>46</v>
      </c>
      <c r="AE98" s="257" t="s">
        <v>67</v>
      </c>
    </row>
    <row r="99" spans="1:31" ht="15.6" x14ac:dyDescent="0.3">
      <c r="A99" s="257" t="s">
        <v>67</v>
      </c>
      <c r="B99" s="66">
        <v>130</v>
      </c>
      <c r="C99" s="66">
        <v>47</v>
      </c>
      <c r="D99" s="79" t="s">
        <v>71</v>
      </c>
      <c r="E99" s="79">
        <v>12</v>
      </c>
      <c r="F99" s="67">
        <v>4</v>
      </c>
      <c r="G99" s="267">
        <v>103.66</v>
      </c>
      <c r="H99" s="267">
        <v>14.98</v>
      </c>
      <c r="I99" s="295">
        <v>6.72</v>
      </c>
      <c r="J99" s="323">
        <v>1</v>
      </c>
      <c r="K99" s="68">
        <f>(SUMPRODUCT(H99:J99,$H$9:$J$9)+$G$9*Z99+SUMPRODUCT(T99:W99,$T$9:$W$9))*$I$5</f>
        <v>1951631.7289199999</v>
      </c>
      <c r="L99" s="79" t="s">
        <v>54</v>
      </c>
      <c r="M99" s="68">
        <f t="shared" si="47"/>
        <v>1951631.7289199999</v>
      </c>
      <c r="N99" s="68">
        <f t="shared" si="48"/>
        <v>1651631.7289199999</v>
      </c>
      <c r="O99" s="68">
        <f t="shared" si="49"/>
        <v>2017987.20770328</v>
      </c>
      <c r="P99" s="68">
        <f t="shared" si="50"/>
        <v>366355.47878328012</v>
      </c>
      <c r="Q99" s="68">
        <f t="shared" si="51"/>
        <v>1651631.7289199999</v>
      </c>
      <c r="R99" s="70" t="s">
        <v>69</v>
      </c>
      <c r="S99" s="324">
        <v>47</v>
      </c>
      <c r="T99" s="72">
        <f t="shared" si="41"/>
        <v>14.98</v>
      </c>
      <c r="U99" s="72">
        <f t="shared" si="42"/>
        <v>0</v>
      </c>
      <c r="V99" s="73">
        <f t="shared" si="43"/>
        <v>0</v>
      </c>
      <c r="W99" s="73">
        <f t="shared" si="44"/>
        <v>0</v>
      </c>
      <c r="X99" s="68">
        <f t="shared" si="45"/>
        <v>390326.345784</v>
      </c>
      <c r="Y99" s="74">
        <f t="shared" si="46"/>
        <v>300000</v>
      </c>
      <c r="Z99" s="62">
        <f t="array" ref="Z99">_xlfn.IFS(AND(F99=3,G99&gt;90),(90*1)+((G99-90)*0.85),AND(F99=3.5,G99&gt;100),(100*1)+((G99-100)*0.85),AND(F99=4,G99&gt;110),(110*1)+((G99-110)*0.85),AND(F99=4.5,G99&gt;120),(120*1)+((G99-120)*0.85),AND(F99=5,G99&gt;125),(125*1)+((G99-125)*0.85),AND(F99=5.5,G99&gt;135),(135*1)+((G99-135)*0.85),AND(F99=6,G99&gt;145),(145*1)+((G99-145)*0.85),TRUE(),G99)</f>
        <v>103.66</v>
      </c>
      <c r="AA99" s="316">
        <v>0</v>
      </c>
      <c r="AC99" s="256" t="s">
        <v>120</v>
      </c>
      <c r="AD99" s="66">
        <v>47</v>
      </c>
      <c r="AE99" s="257" t="s">
        <v>67</v>
      </c>
    </row>
    <row r="100" spans="1:31" ht="15.6" x14ac:dyDescent="0.3">
      <c r="A100" s="257" t="s">
        <v>67</v>
      </c>
      <c r="B100" s="66">
        <v>130</v>
      </c>
      <c r="C100" s="66">
        <v>48</v>
      </c>
      <c r="D100" s="79" t="s">
        <v>72</v>
      </c>
      <c r="E100" s="79">
        <v>12</v>
      </c>
      <c r="F100" s="67">
        <v>3</v>
      </c>
      <c r="G100" s="267">
        <v>79.989999999999995</v>
      </c>
      <c r="H100" s="267">
        <v>12</v>
      </c>
      <c r="I100" s="295">
        <v>6.72</v>
      </c>
      <c r="J100" s="323">
        <v>1</v>
      </c>
      <c r="K100" s="68">
        <f>(SUMPRODUCT(H100:J100,$H$9:$J$9)+$G$9*Z100+SUMPRODUCT(T100:W100,$T$9:$W$9))*$I$5</f>
        <v>1526790.9622799996</v>
      </c>
      <c r="L100" s="67" t="s">
        <v>54</v>
      </c>
      <c r="M100" s="68">
        <f t="shared" si="47"/>
        <v>1526790.9622799996</v>
      </c>
      <c r="N100" s="68">
        <f t="shared" si="48"/>
        <v>1226790.9622799996</v>
      </c>
      <c r="O100" s="68">
        <f t="shared" si="49"/>
        <v>1578701.8549975196</v>
      </c>
      <c r="P100" s="68">
        <f t="shared" si="50"/>
        <v>351910.89271752001</v>
      </c>
      <c r="Q100" s="68">
        <f t="shared" si="51"/>
        <v>1226790.9622799996</v>
      </c>
      <c r="R100" s="70" t="s">
        <v>69</v>
      </c>
      <c r="S100" s="324">
        <v>48</v>
      </c>
      <c r="T100" s="72">
        <f t="shared" si="41"/>
        <v>12</v>
      </c>
      <c r="U100" s="72">
        <f t="shared" si="42"/>
        <v>0</v>
      </c>
      <c r="V100" s="73">
        <f t="shared" si="43"/>
        <v>0</v>
      </c>
      <c r="W100" s="73">
        <f t="shared" si="44"/>
        <v>0</v>
      </c>
      <c r="X100" s="68">
        <f t="shared" si="45"/>
        <v>305358.19245599996</v>
      </c>
      <c r="Y100" s="74">
        <f t="shared" si="46"/>
        <v>300000</v>
      </c>
      <c r="Z100" s="62">
        <f t="array" ref="Z100">_xlfn.IFS(AND(F100=3,G100&gt;90),(90*1)+((G100-90)*0.85),AND(F100=3.5,G100&gt;100),(100*1)+((G100-100)*0.85),AND(F100=4,G100&gt;110),(110*1)+((G100-110)*0.85),AND(F100=4.5,G100&gt;120),(120*1)+((G100-120)*0.85),AND(F100=5,G100&gt;125),(125*1)+((G100-125)*0.85),AND(F100=5.5,G100&gt;135),(135*1)+((G100-135)*0.85),AND(F100=6,G100&gt;145),(145*1)+((G100-145)*0.85),TRUE(),G100)</f>
        <v>79.989999999999995</v>
      </c>
      <c r="AA100" s="316">
        <v>0</v>
      </c>
      <c r="AC100" s="256" t="s">
        <v>121</v>
      </c>
      <c r="AD100" s="66">
        <v>48</v>
      </c>
      <c r="AE100" s="257" t="s">
        <v>67</v>
      </c>
    </row>
    <row r="101" spans="1:31" ht="15.6" x14ac:dyDescent="0.3">
      <c r="A101" s="257" t="s">
        <v>67</v>
      </c>
      <c r="B101" s="66">
        <v>130</v>
      </c>
      <c r="C101" s="66">
        <v>49</v>
      </c>
      <c r="D101" s="67" t="s">
        <v>76</v>
      </c>
      <c r="E101" s="67">
        <v>13</v>
      </c>
      <c r="F101" s="67">
        <v>5</v>
      </c>
      <c r="G101" s="259">
        <v>125.32</v>
      </c>
      <c r="H101" s="259">
        <v>15</v>
      </c>
      <c r="I101" s="260">
        <v>6.28</v>
      </c>
      <c r="J101" s="323">
        <v>2</v>
      </c>
      <c r="K101" s="68"/>
      <c r="L101" s="67" t="s">
        <v>47</v>
      </c>
      <c r="M101" s="68"/>
      <c r="N101" s="68"/>
      <c r="O101" s="68"/>
      <c r="P101" s="68"/>
      <c r="Q101" s="68"/>
      <c r="R101" s="70" t="s">
        <v>69</v>
      </c>
      <c r="S101" s="324">
        <v>49</v>
      </c>
      <c r="T101" s="72">
        <f t="shared" si="41"/>
        <v>15</v>
      </c>
      <c r="U101" s="72">
        <f t="shared" si="42"/>
        <v>0</v>
      </c>
      <c r="V101" s="73">
        <f t="shared" si="43"/>
        <v>0</v>
      </c>
      <c r="W101" s="73">
        <f t="shared" si="44"/>
        <v>0</v>
      </c>
      <c r="X101" s="68">
        <f t="shared" si="45"/>
        <v>0</v>
      </c>
      <c r="Y101" s="74">
        <f t="shared" si="46"/>
        <v>0</v>
      </c>
      <c r="Z101" s="62">
        <f t="array" ref="Z101">_xlfn.IFS(AND(F101=3,G101&gt;90),(90*1)+((G101-90)*0.85),AND(F101=3.5,G101&gt;100),(100*1)+((G101-100)*0.85),AND(F101=4,G101&gt;110),(110*1)+((G101-110)*0.85),AND(F101=4.5,G101&gt;120),(120*1)+((G101-120)*0.85),AND(F101=5,G101&gt;125),(125*1)+((G101-125)*0.85),AND(F101=5.5,G101&gt;135),(135*1)+((G101-135)*0.85),AND(F101=6,G101&gt;145),(145*1)+((G101-145)*0.85),TRUE(),G101)</f>
        <v>125.27199999999999</v>
      </c>
      <c r="AA101" s="316">
        <v>0</v>
      </c>
      <c r="AC101" s="256" t="s">
        <v>119</v>
      </c>
      <c r="AD101" s="66">
        <v>49</v>
      </c>
      <c r="AE101" s="257" t="s">
        <v>67</v>
      </c>
    </row>
    <row r="102" spans="1:31" ht="27" customHeight="1" x14ac:dyDescent="0.3">
      <c r="A102" s="257" t="s">
        <v>67</v>
      </c>
      <c r="B102" s="66">
        <v>130</v>
      </c>
      <c r="C102" s="66">
        <v>50</v>
      </c>
      <c r="D102" s="67" t="s">
        <v>70</v>
      </c>
      <c r="E102" s="67">
        <v>13</v>
      </c>
      <c r="F102" s="67">
        <v>4</v>
      </c>
      <c r="G102" s="259">
        <v>113.37</v>
      </c>
      <c r="H102" s="259">
        <v>19.38</v>
      </c>
      <c r="I102" s="260">
        <v>6.27</v>
      </c>
      <c r="J102" s="323">
        <v>1</v>
      </c>
      <c r="K102" s="68"/>
      <c r="L102" s="67" t="s">
        <v>47</v>
      </c>
      <c r="M102" s="68"/>
      <c r="N102" s="68"/>
      <c r="O102" s="68"/>
      <c r="P102" s="68"/>
      <c r="Q102" s="68"/>
      <c r="R102" s="70" t="s">
        <v>69</v>
      </c>
      <c r="S102" s="324">
        <v>50</v>
      </c>
      <c r="T102" s="72">
        <f t="shared" si="41"/>
        <v>19.38</v>
      </c>
      <c r="U102" s="72">
        <f t="shared" si="42"/>
        <v>0</v>
      </c>
      <c r="V102" s="73">
        <f t="shared" si="43"/>
        <v>0</v>
      </c>
      <c r="W102" s="73">
        <f t="shared" si="44"/>
        <v>0</v>
      </c>
      <c r="X102" s="68">
        <f t="shared" si="45"/>
        <v>0</v>
      </c>
      <c r="Y102" s="74">
        <f t="shared" si="46"/>
        <v>0</v>
      </c>
      <c r="Z102" s="62">
        <f t="array" ref="Z102">_xlfn.IFS(AND(F102=3,G102&gt;90),(90*1)+((G102-90)*0.85),AND(F102=3.5,G102&gt;100),(100*1)+((G102-100)*0.85),AND(F102=4,G102&gt;110),(110*1)+((G102-110)*0.85),AND(F102=4.5,G102&gt;120),(120*1)+((G102-120)*0.85),AND(F102=5,G102&gt;125),(125*1)+((G102-125)*0.85),AND(F102=5.5,G102&gt;135),(135*1)+((G102-135)*0.85),AND(F102=6,G102&gt;145),(145*1)+((G102-145)*0.85),TRUE(),G102)</f>
        <v>112.86450000000001</v>
      </c>
      <c r="AA102" s="316">
        <v>0</v>
      </c>
      <c r="AC102" s="256" t="s">
        <v>101</v>
      </c>
      <c r="AD102" s="66">
        <v>50</v>
      </c>
      <c r="AE102" s="257" t="s">
        <v>67</v>
      </c>
    </row>
    <row r="103" spans="1:31" ht="15.6" x14ac:dyDescent="0.3">
      <c r="A103" s="257" t="s">
        <v>67</v>
      </c>
      <c r="B103" s="66">
        <v>130</v>
      </c>
      <c r="C103" s="66">
        <v>51</v>
      </c>
      <c r="D103" s="79" t="s">
        <v>71</v>
      </c>
      <c r="E103" s="79">
        <v>13</v>
      </c>
      <c r="F103" s="67">
        <v>4</v>
      </c>
      <c r="G103" s="267">
        <v>103.66</v>
      </c>
      <c r="H103" s="267">
        <v>14.98</v>
      </c>
      <c r="I103" s="295">
        <v>6.72</v>
      </c>
      <c r="J103" s="323">
        <v>2</v>
      </c>
      <c r="K103" s="68">
        <f>(SUMPRODUCT(H103:J103,$H$9:$J$9)+$G$9*Z103+SUMPRODUCT(T103:W103,$T$9:$W$9))*$I$5</f>
        <v>1986222.2489199997</v>
      </c>
      <c r="L103" s="79" t="s">
        <v>54</v>
      </c>
      <c r="M103" s="68">
        <f t="shared" si="47"/>
        <v>1986222.2489199997</v>
      </c>
      <c r="N103" s="68">
        <f t="shared" si="48"/>
        <v>1686222.2489199997</v>
      </c>
      <c r="O103" s="68">
        <f t="shared" si="49"/>
        <v>2053753.8053832797</v>
      </c>
      <c r="P103" s="68">
        <f t="shared" si="50"/>
        <v>367531.55646327999</v>
      </c>
      <c r="Q103" s="68">
        <f t="shared" si="51"/>
        <v>1686222.2489199997</v>
      </c>
      <c r="R103" s="70" t="s">
        <v>69</v>
      </c>
      <c r="S103" s="324">
        <v>51</v>
      </c>
      <c r="T103" s="72">
        <f t="shared" si="41"/>
        <v>14.98</v>
      </c>
      <c r="U103" s="72">
        <f t="shared" si="42"/>
        <v>0</v>
      </c>
      <c r="V103" s="73">
        <f t="shared" si="43"/>
        <v>0</v>
      </c>
      <c r="W103" s="73">
        <f t="shared" si="44"/>
        <v>0</v>
      </c>
      <c r="X103" s="68">
        <f t="shared" si="45"/>
        <v>397244.44978399994</v>
      </c>
      <c r="Y103" s="74">
        <f t="shared" si="46"/>
        <v>300000</v>
      </c>
      <c r="Z103" s="62">
        <f t="array" ref="Z103">_xlfn.IFS(AND(F103=3,G103&gt;90),(90*1)+((G103-90)*0.85),AND(F103=3.5,G103&gt;100),(100*1)+((G103-100)*0.85),AND(F103=4,G103&gt;110),(110*1)+((G103-110)*0.85),AND(F103=4.5,G103&gt;120),(120*1)+((G103-120)*0.85),AND(F103=5,G103&gt;125),(125*1)+((G103-125)*0.85),AND(F103=5.5,G103&gt;135),(135*1)+((G103-135)*0.85),AND(F103=6,G103&gt;145),(145*1)+((G103-145)*0.85),TRUE(),G103)</f>
        <v>103.66</v>
      </c>
      <c r="AA103" s="316">
        <v>0</v>
      </c>
      <c r="AC103" s="256" t="s">
        <v>120</v>
      </c>
      <c r="AD103" s="66">
        <v>51</v>
      </c>
      <c r="AE103" s="257" t="s">
        <v>67</v>
      </c>
    </row>
    <row r="104" spans="1:31" ht="15.6" x14ac:dyDescent="0.3">
      <c r="A104" s="257" t="s">
        <v>67</v>
      </c>
      <c r="B104" s="66">
        <v>130</v>
      </c>
      <c r="C104" s="66">
        <v>52</v>
      </c>
      <c r="D104" s="79" t="s">
        <v>72</v>
      </c>
      <c r="E104" s="79">
        <v>13</v>
      </c>
      <c r="F104" s="67">
        <v>3</v>
      </c>
      <c r="G104" s="267">
        <v>79.989999999999995</v>
      </c>
      <c r="H104" s="267">
        <v>12</v>
      </c>
      <c r="I104" s="295">
        <v>6.72</v>
      </c>
      <c r="J104" s="323">
        <v>1</v>
      </c>
      <c r="K104" s="68">
        <f>(SUMPRODUCT(H104:J104,$H$9:$J$9)+$G$9*Z104+SUMPRODUCT(T104:W104,$T$9:$W$9))*$I$5</f>
        <v>1526790.9622799996</v>
      </c>
      <c r="L104" s="79" t="s">
        <v>54</v>
      </c>
      <c r="M104" s="68">
        <f t="shared" si="47"/>
        <v>1526790.9622799996</v>
      </c>
      <c r="N104" s="68">
        <f t="shared" si="48"/>
        <v>1226790.9622799996</v>
      </c>
      <c r="O104" s="68">
        <f t="shared" si="49"/>
        <v>1578701.8549975196</v>
      </c>
      <c r="P104" s="68">
        <f t="shared" si="50"/>
        <v>351910.89271752001</v>
      </c>
      <c r="Q104" s="68">
        <f t="shared" si="51"/>
        <v>1226790.9622799996</v>
      </c>
      <c r="R104" s="70" t="s">
        <v>69</v>
      </c>
      <c r="S104" s="324">
        <v>52</v>
      </c>
      <c r="T104" s="72">
        <f t="shared" si="41"/>
        <v>12</v>
      </c>
      <c r="U104" s="72">
        <f t="shared" si="42"/>
        <v>0</v>
      </c>
      <c r="V104" s="73">
        <f t="shared" si="43"/>
        <v>0</v>
      </c>
      <c r="W104" s="73">
        <f t="shared" si="44"/>
        <v>0</v>
      </c>
      <c r="X104" s="68">
        <f t="shared" si="45"/>
        <v>305358.19245599996</v>
      </c>
      <c r="Y104" s="74">
        <f t="shared" si="46"/>
        <v>300000</v>
      </c>
      <c r="Z104" s="62">
        <f t="array" ref="Z104">_xlfn.IFS(AND(F104=3,G104&gt;90),(90*1)+((G104-90)*0.85),AND(F104=3.5,G104&gt;100),(100*1)+((G104-100)*0.85),AND(F104=4,G104&gt;110),(110*1)+((G104-110)*0.85),AND(F104=4.5,G104&gt;120),(120*1)+((G104-120)*0.85),AND(F104=5,G104&gt;125),(125*1)+((G104-125)*0.85),AND(F104=5.5,G104&gt;135),(135*1)+((G104-135)*0.85),AND(F104=6,G104&gt;145),(145*1)+((G104-145)*0.85),TRUE(),G104)</f>
        <v>79.989999999999995</v>
      </c>
      <c r="AA104" s="316">
        <v>0</v>
      </c>
      <c r="AC104" s="256" t="s">
        <v>121</v>
      </c>
      <c r="AD104" s="66">
        <v>52</v>
      </c>
      <c r="AE104" s="257" t="s">
        <v>67</v>
      </c>
    </row>
    <row r="105" spans="1:31" ht="15.6" x14ac:dyDescent="0.3">
      <c r="A105" s="257" t="s">
        <v>67</v>
      </c>
      <c r="B105" s="66">
        <v>130</v>
      </c>
      <c r="C105" s="66">
        <v>53</v>
      </c>
      <c r="D105" s="67" t="s">
        <v>76</v>
      </c>
      <c r="E105" s="67">
        <v>14</v>
      </c>
      <c r="F105" s="67">
        <v>5</v>
      </c>
      <c r="G105" s="259">
        <v>125.32</v>
      </c>
      <c r="H105" s="259">
        <v>15</v>
      </c>
      <c r="I105" s="260">
        <v>6.28</v>
      </c>
      <c r="J105" s="323">
        <v>2</v>
      </c>
      <c r="K105" s="68"/>
      <c r="L105" s="67" t="s">
        <v>47</v>
      </c>
      <c r="M105" s="68"/>
      <c r="N105" s="68"/>
      <c r="O105" s="68"/>
      <c r="P105" s="68"/>
      <c r="Q105" s="68"/>
      <c r="R105" s="78" t="s">
        <v>69</v>
      </c>
      <c r="S105" s="324">
        <v>53</v>
      </c>
      <c r="T105" s="72">
        <f t="shared" si="41"/>
        <v>15</v>
      </c>
      <c r="U105" s="72">
        <f t="shared" si="42"/>
        <v>0</v>
      </c>
      <c r="V105" s="73">
        <f t="shared" si="43"/>
        <v>0</v>
      </c>
      <c r="W105" s="73">
        <f t="shared" si="44"/>
        <v>0</v>
      </c>
      <c r="X105" s="68">
        <f t="shared" si="45"/>
        <v>0</v>
      </c>
      <c r="Y105" s="74">
        <f t="shared" si="46"/>
        <v>0</v>
      </c>
      <c r="Z105" s="62">
        <f t="array" ref="Z105">_xlfn.IFS(AND(F105=3,G105&gt;90),(90*1)+((G105-90)*0.85),AND(F105=3.5,G105&gt;100),(100*1)+((G105-100)*0.85),AND(F105=4,G105&gt;110),(110*1)+((G105-110)*0.85),AND(F105=4.5,G105&gt;120),(120*1)+((G105-120)*0.85),AND(F105=5,G105&gt;125),(125*1)+((G105-125)*0.85),AND(F105=5.5,G105&gt;135),(135*1)+((G105-135)*0.85),AND(F105=6,G105&gt;145),(145*1)+((G105-145)*0.85),TRUE(),G105)</f>
        <v>125.27199999999999</v>
      </c>
      <c r="AA105" s="326">
        <v>5.0000000000000001E-3</v>
      </c>
      <c r="AC105" s="256" t="s">
        <v>119</v>
      </c>
      <c r="AD105" s="66">
        <v>53</v>
      </c>
      <c r="AE105" s="257" t="s">
        <v>67</v>
      </c>
    </row>
    <row r="106" spans="1:31" ht="15.6" x14ac:dyDescent="0.3">
      <c r="A106" s="257" t="s">
        <v>67</v>
      </c>
      <c r="B106" s="66">
        <v>130</v>
      </c>
      <c r="C106" s="66">
        <v>54</v>
      </c>
      <c r="D106" s="67" t="s">
        <v>123</v>
      </c>
      <c r="E106" s="67">
        <v>14</v>
      </c>
      <c r="F106" s="67">
        <v>4</v>
      </c>
      <c r="G106" s="259">
        <v>113.37</v>
      </c>
      <c r="H106" s="259">
        <v>14.77</v>
      </c>
      <c r="I106" s="260">
        <v>6.27</v>
      </c>
      <c r="J106" s="323">
        <v>1</v>
      </c>
      <c r="K106" s="68"/>
      <c r="L106" s="67" t="s">
        <v>47</v>
      </c>
      <c r="M106" s="68"/>
      <c r="N106" s="68"/>
      <c r="O106" s="68"/>
      <c r="P106" s="68"/>
      <c r="Q106" s="68"/>
      <c r="R106" s="78" t="s">
        <v>69</v>
      </c>
      <c r="S106" s="324">
        <v>54</v>
      </c>
      <c r="T106" s="72">
        <f t="shared" si="41"/>
        <v>14.77</v>
      </c>
      <c r="U106" s="72">
        <f t="shared" si="42"/>
        <v>0</v>
      </c>
      <c r="V106" s="73">
        <f t="shared" si="43"/>
        <v>0</v>
      </c>
      <c r="W106" s="73">
        <f t="shared" si="44"/>
        <v>0</v>
      </c>
      <c r="X106" s="68">
        <f t="shared" si="45"/>
        <v>0</v>
      </c>
      <c r="Y106" s="74">
        <f t="shared" si="46"/>
        <v>0</v>
      </c>
      <c r="Z106" s="62">
        <f t="array" ref="Z106">_xlfn.IFS(AND(F106=3,G106&gt;90),(90*1)+((G106-90)*0.85),AND(F106=3.5,G106&gt;100),(100*1)+((G106-100)*0.85),AND(F106=4,G106&gt;110),(110*1)+((G106-110)*0.85),AND(F106=4.5,G106&gt;120),(120*1)+((G106-120)*0.85),AND(F106=5,G106&gt;125),(125*1)+((G106-125)*0.85),AND(F106=5.5,G106&gt;135),(135*1)+((G106-135)*0.85),AND(F106=6,G106&gt;145),(145*1)+((G106-145)*0.85),TRUE(),G106)</f>
        <v>112.86450000000001</v>
      </c>
      <c r="AA106" s="326">
        <v>5.0000000000000001E-3</v>
      </c>
      <c r="AC106" s="256" t="s">
        <v>101</v>
      </c>
      <c r="AD106" s="66">
        <v>54</v>
      </c>
      <c r="AE106" s="257" t="s">
        <v>67</v>
      </c>
    </row>
    <row r="107" spans="1:31" ht="15.6" x14ac:dyDescent="0.3">
      <c r="A107" s="257" t="s">
        <v>67</v>
      </c>
      <c r="B107" s="66">
        <v>130</v>
      </c>
      <c r="C107" s="66">
        <v>55</v>
      </c>
      <c r="D107" s="79" t="s">
        <v>71</v>
      </c>
      <c r="E107" s="79">
        <v>14</v>
      </c>
      <c r="F107" s="67">
        <v>4</v>
      </c>
      <c r="G107" s="267">
        <v>103.66</v>
      </c>
      <c r="H107" s="267">
        <v>14.98</v>
      </c>
      <c r="I107" s="295">
        <v>6.72</v>
      </c>
      <c r="J107" s="323">
        <v>2</v>
      </c>
      <c r="K107" s="68">
        <f>(SUMPRODUCT(H107:J107,$H$9:$J$9)+$G$9*Z107+SUMPRODUCT(T107:W107,$T$9:$W$9))*$I$5</f>
        <v>1986222.2489199997</v>
      </c>
      <c r="L107" s="79" t="s">
        <v>54</v>
      </c>
      <c r="M107" s="68">
        <f t="shared" si="47"/>
        <v>1996153.3601645995</v>
      </c>
      <c r="N107" s="68">
        <f t="shared" si="48"/>
        <v>1696153.3601645995</v>
      </c>
      <c r="O107" s="68">
        <f t="shared" si="49"/>
        <v>2064022.5744101959</v>
      </c>
      <c r="P107" s="68">
        <f t="shared" si="50"/>
        <v>367869.21424559643</v>
      </c>
      <c r="Q107" s="68">
        <f t="shared" si="51"/>
        <v>1696153.3601645995</v>
      </c>
      <c r="R107" s="78" t="s">
        <v>69</v>
      </c>
      <c r="S107" s="324">
        <v>55</v>
      </c>
      <c r="T107" s="72">
        <f t="shared" si="41"/>
        <v>14.98</v>
      </c>
      <c r="U107" s="72">
        <f t="shared" si="42"/>
        <v>0</v>
      </c>
      <c r="V107" s="73">
        <f t="shared" si="43"/>
        <v>0</v>
      </c>
      <c r="W107" s="73">
        <f t="shared" si="44"/>
        <v>0</v>
      </c>
      <c r="X107" s="68">
        <f t="shared" si="45"/>
        <v>397244.44978399994</v>
      </c>
      <c r="Y107" s="74">
        <f t="shared" si="46"/>
        <v>300000</v>
      </c>
      <c r="Z107" s="62">
        <f t="array" ref="Z107">_xlfn.IFS(AND(F107=3,G107&gt;90),(90*1)+((G107-90)*0.85),AND(F107=3.5,G107&gt;100),(100*1)+((G107-100)*0.85),AND(F107=4,G107&gt;110),(110*1)+((G107-110)*0.85),AND(F107=4.5,G107&gt;120),(120*1)+((G107-120)*0.85),AND(F107=5,G107&gt;125),(125*1)+((G107-125)*0.85),AND(F107=5.5,G107&gt;135),(135*1)+((G107-135)*0.85),AND(F107=6,G107&gt;145),(145*1)+((G107-145)*0.85),TRUE(),G107)</f>
        <v>103.66</v>
      </c>
      <c r="AA107" s="326">
        <v>5.0000000000000001E-3</v>
      </c>
      <c r="AC107" s="256" t="s">
        <v>120</v>
      </c>
      <c r="AD107" s="66">
        <v>55</v>
      </c>
      <c r="AE107" s="257" t="s">
        <v>67</v>
      </c>
    </row>
    <row r="108" spans="1:31" ht="27" customHeight="1" x14ac:dyDescent="0.3">
      <c r="A108" s="257" t="s">
        <v>67</v>
      </c>
      <c r="B108" s="66">
        <v>130</v>
      </c>
      <c r="C108" s="66">
        <v>56</v>
      </c>
      <c r="D108" s="67" t="s">
        <v>75</v>
      </c>
      <c r="E108" s="67">
        <v>14</v>
      </c>
      <c r="F108" s="67">
        <v>3</v>
      </c>
      <c r="G108" s="259">
        <v>79.989999999999995</v>
      </c>
      <c r="H108" s="259">
        <v>12</v>
      </c>
      <c r="I108" s="260">
        <v>6.72</v>
      </c>
      <c r="J108" s="323">
        <v>1</v>
      </c>
      <c r="K108" s="68"/>
      <c r="L108" s="67" t="s">
        <v>47</v>
      </c>
      <c r="M108" s="68"/>
      <c r="N108" s="68"/>
      <c r="O108" s="68"/>
      <c r="P108" s="68"/>
      <c r="Q108" s="68"/>
      <c r="R108" s="78" t="s">
        <v>69</v>
      </c>
      <c r="S108" s="324">
        <v>56</v>
      </c>
      <c r="T108" s="72">
        <f t="shared" si="41"/>
        <v>12</v>
      </c>
      <c r="U108" s="72">
        <f t="shared" si="42"/>
        <v>0</v>
      </c>
      <c r="V108" s="73">
        <f t="shared" si="43"/>
        <v>0</v>
      </c>
      <c r="W108" s="73">
        <f t="shared" si="44"/>
        <v>0</v>
      </c>
      <c r="X108" s="68">
        <f t="shared" si="45"/>
        <v>0</v>
      </c>
      <c r="Y108" s="74">
        <f t="shared" si="46"/>
        <v>0</v>
      </c>
      <c r="Z108" s="62">
        <f t="array" ref="Z108">_xlfn.IFS(AND(F108=3,G108&gt;90),(90*1)+((G108-90)*0.85),AND(F108=3.5,G108&gt;100),(100*1)+((G108-100)*0.85),AND(F108=4,G108&gt;110),(110*1)+((G108-110)*0.85),AND(F108=4.5,G108&gt;120),(120*1)+((G108-120)*0.85),AND(F108=5,G108&gt;125),(125*1)+((G108-125)*0.85),AND(F108=5.5,G108&gt;135),(135*1)+((G108-135)*0.85),AND(F108=6,G108&gt;145),(145*1)+((G108-145)*0.85),TRUE(),G108)</f>
        <v>79.989999999999995</v>
      </c>
      <c r="AA108" s="326">
        <v>5.0000000000000001E-3</v>
      </c>
      <c r="AC108" s="256" t="s">
        <v>121</v>
      </c>
      <c r="AD108" s="66">
        <v>56</v>
      </c>
      <c r="AE108" s="257" t="s">
        <v>67</v>
      </c>
    </row>
    <row r="109" spans="1:31" ht="15.6" x14ac:dyDescent="0.3">
      <c r="A109" s="257" t="s">
        <v>67</v>
      </c>
      <c r="B109" s="66">
        <v>130</v>
      </c>
      <c r="C109" s="66">
        <v>57</v>
      </c>
      <c r="D109" s="67" t="s">
        <v>76</v>
      </c>
      <c r="E109" s="67">
        <v>15</v>
      </c>
      <c r="F109" s="67">
        <v>5</v>
      </c>
      <c r="G109" s="259">
        <v>125.32</v>
      </c>
      <c r="H109" s="259">
        <v>15</v>
      </c>
      <c r="I109" s="260">
        <v>6.28</v>
      </c>
      <c r="J109" s="323">
        <v>2</v>
      </c>
      <c r="K109" s="68"/>
      <c r="L109" s="67" t="s">
        <v>47</v>
      </c>
      <c r="M109" s="68"/>
      <c r="N109" s="68"/>
      <c r="O109" s="68"/>
      <c r="P109" s="68"/>
      <c r="Q109" s="68"/>
      <c r="R109" s="78" t="s">
        <v>69</v>
      </c>
      <c r="S109" s="324">
        <v>57</v>
      </c>
      <c r="T109" s="72">
        <f t="shared" si="41"/>
        <v>15</v>
      </c>
      <c r="U109" s="72">
        <f t="shared" si="42"/>
        <v>0</v>
      </c>
      <c r="V109" s="73">
        <f t="shared" si="43"/>
        <v>0</v>
      </c>
      <c r="W109" s="73">
        <f t="shared" si="44"/>
        <v>0</v>
      </c>
      <c r="X109" s="68">
        <f t="shared" si="45"/>
        <v>0</v>
      </c>
      <c r="Y109" s="74">
        <f t="shared" si="46"/>
        <v>0</v>
      </c>
      <c r="Z109" s="62">
        <f t="array" ref="Z109">_xlfn.IFS(AND(F109=3,G109&gt;90),(90*1)+((G109-90)*0.85),AND(F109=3.5,G109&gt;100),(100*1)+((G109-100)*0.85),AND(F109=4,G109&gt;110),(110*1)+((G109-110)*0.85),AND(F109=4.5,G109&gt;120),(120*1)+((G109-120)*0.85),AND(F109=5,G109&gt;125),(125*1)+((G109-125)*0.85),AND(F109=5.5,G109&gt;135),(135*1)+((G109-135)*0.85),AND(F109=6,G109&gt;145),(145*1)+((G109-145)*0.85),TRUE(),G109)</f>
        <v>125.27199999999999</v>
      </c>
      <c r="AA109" s="326">
        <v>0.01</v>
      </c>
      <c r="AC109" s="256" t="s">
        <v>119</v>
      </c>
      <c r="AD109" s="66">
        <v>57</v>
      </c>
      <c r="AE109" s="257" t="s">
        <v>67</v>
      </c>
    </row>
    <row r="110" spans="1:31" ht="15.6" x14ac:dyDescent="0.3">
      <c r="A110" s="257" t="s">
        <v>67</v>
      </c>
      <c r="B110" s="66">
        <v>130</v>
      </c>
      <c r="C110" s="66">
        <v>58</v>
      </c>
      <c r="D110" s="67" t="s">
        <v>70</v>
      </c>
      <c r="E110" s="67">
        <v>15</v>
      </c>
      <c r="F110" s="67">
        <v>4</v>
      </c>
      <c r="G110" s="259">
        <v>113.37</v>
      </c>
      <c r="H110" s="259">
        <v>19.38</v>
      </c>
      <c r="I110" s="260">
        <v>6.27</v>
      </c>
      <c r="J110" s="323">
        <v>1</v>
      </c>
      <c r="K110" s="68"/>
      <c r="L110" s="67" t="s">
        <v>47</v>
      </c>
      <c r="M110" s="68"/>
      <c r="N110" s="68"/>
      <c r="O110" s="68"/>
      <c r="P110" s="68"/>
      <c r="Q110" s="68"/>
      <c r="R110" s="78" t="s">
        <v>69</v>
      </c>
      <c r="S110" s="324">
        <v>58</v>
      </c>
      <c r="T110" s="72">
        <f t="shared" si="41"/>
        <v>19.38</v>
      </c>
      <c r="U110" s="72">
        <f t="shared" si="42"/>
        <v>0</v>
      </c>
      <c r="V110" s="73">
        <f t="shared" si="43"/>
        <v>0</v>
      </c>
      <c r="W110" s="73">
        <f t="shared" si="44"/>
        <v>0</v>
      </c>
      <c r="X110" s="68">
        <f t="shared" si="45"/>
        <v>0</v>
      </c>
      <c r="Y110" s="74">
        <f t="shared" si="46"/>
        <v>0</v>
      </c>
      <c r="Z110" s="62">
        <f t="array" ref="Z110">_xlfn.IFS(AND(F110=3,G110&gt;90),(90*1)+((G110-90)*0.85),AND(F110=3.5,G110&gt;100),(100*1)+((G110-100)*0.85),AND(F110=4,G110&gt;110),(110*1)+((G110-110)*0.85),AND(F110=4.5,G110&gt;120),(120*1)+((G110-120)*0.85),AND(F110=5,G110&gt;125),(125*1)+((G110-125)*0.85),AND(F110=5.5,G110&gt;135),(135*1)+((G110-135)*0.85),AND(F110=6,G110&gt;145),(145*1)+((G110-145)*0.85),TRUE(),G110)</f>
        <v>112.86450000000001</v>
      </c>
      <c r="AA110" s="326">
        <v>0.01</v>
      </c>
      <c r="AC110" s="256" t="s">
        <v>101</v>
      </c>
      <c r="AD110" s="66">
        <v>58</v>
      </c>
      <c r="AE110" s="257" t="s">
        <v>67</v>
      </c>
    </row>
    <row r="111" spans="1:31" ht="15.6" x14ac:dyDescent="0.3">
      <c r="A111" s="257" t="s">
        <v>67</v>
      </c>
      <c r="B111" s="66">
        <v>130</v>
      </c>
      <c r="C111" s="66">
        <v>59</v>
      </c>
      <c r="D111" s="79" t="s">
        <v>71</v>
      </c>
      <c r="E111" s="79">
        <v>15</v>
      </c>
      <c r="F111" s="67">
        <v>4</v>
      </c>
      <c r="G111" s="267">
        <v>103.66</v>
      </c>
      <c r="H111" s="267">
        <v>14.98</v>
      </c>
      <c r="I111" s="295">
        <v>6.72</v>
      </c>
      <c r="J111" s="323">
        <v>2</v>
      </c>
      <c r="K111" s="68">
        <f>(SUMPRODUCT(H111:J111,$H$9:$J$9)+$G$9*Z111+SUMPRODUCT(T111:W111,$T$9:$W$9))*$I$5</f>
        <v>1986222.2489199997</v>
      </c>
      <c r="L111" s="79" t="s">
        <v>54</v>
      </c>
      <c r="M111" s="68">
        <f t="shared" si="47"/>
        <v>2006084.4714091998</v>
      </c>
      <c r="N111" s="68">
        <f t="shared" si="48"/>
        <v>1706084.4714091998</v>
      </c>
      <c r="O111" s="68">
        <f t="shared" si="49"/>
        <v>2074291.3434371126</v>
      </c>
      <c r="P111" s="68">
        <f t="shared" si="50"/>
        <v>368206.87202791288</v>
      </c>
      <c r="Q111" s="68">
        <f t="shared" si="51"/>
        <v>1706084.4714091998</v>
      </c>
      <c r="R111" s="78" t="s">
        <v>69</v>
      </c>
      <c r="S111" s="324">
        <v>59</v>
      </c>
      <c r="T111" s="72">
        <f t="shared" si="41"/>
        <v>14.98</v>
      </c>
      <c r="U111" s="72">
        <f t="shared" si="42"/>
        <v>0</v>
      </c>
      <c r="V111" s="73">
        <f t="shared" si="43"/>
        <v>0</v>
      </c>
      <c r="W111" s="73">
        <f t="shared" si="44"/>
        <v>0</v>
      </c>
      <c r="X111" s="68">
        <f t="shared" si="45"/>
        <v>397244.44978399994</v>
      </c>
      <c r="Y111" s="74">
        <f t="shared" si="46"/>
        <v>300000</v>
      </c>
      <c r="Z111" s="62">
        <f t="array" ref="Z111">_xlfn.IFS(AND(F111=3,G111&gt;90),(90*1)+((G111-90)*0.85),AND(F111=3.5,G111&gt;100),(100*1)+((G111-100)*0.85),AND(F111=4,G111&gt;110),(110*1)+((G111-110)*0.85),AND(F111=4.5,G111&gt;120),(120*1)+((G111-120)*0.85),AND(F111=5,G111&gt;125),(125*1)+((G111-125)*0.85),AND(F111=5.5,G111&gt;135),(135*1)+((G111-135)*0.85),AND(F111=6,G111&gt;145),(145*1)+((G111-145)*0.85),TRUE(),G111)</f>
        <v>103.66</v>
      </c>
      <c r="AA111" s="326">
        <v>0.01</v>
      </c>
      <c r="AC111" s="256" t="s">
        <v>120</v>
      </c>
      <c r="AD111" s="66">
        <v>59</v>
      </c>
      <c r="AE111" s="257" t="s">
        <v>67</v>
      </c>
    </row>
    <row r="112" spans="1:31" ht="15.6" x14ac:dyDescent="0.3">
      <c r="A112" s="257" t="s">
        <v>67</v>
      </c>
      <c r="B112" s="66">
        <v>130</v>
      </c>
      <c r="C112" s="66">
        <v>60</v>
      </c>
      <c r="D112" s="67" t="s">
        <v>75</v>
      </c>
      <c r="E112" s="67">
        <v>15</v>
      </c>
      <c r="F112" s="67">
        <v>3</v>
      </c>
      <c r="G112" s="259">
        <v>79.989999999999995</v>
      </c>
      <c r="H112" s="259">
        <v>12</v>
      </c>
      <c r="I112" s="260">
        <v>6.72</v>
      </c>
      <c r="J112" s="323">
        <v>1</v>
      </c>
      <c r="K112" s="68"/>
      <c r="L112" s="67" t="s">
        <v>47</v>
      </c>
      <c r="M112" s="68"/>
      <c r="N112" s="68"/>
      <c r="O112" s="68"/>
      <c r="P112" s="68"/>
      <c r="Q112" s="68"/>
      <c r="R112" s="78" t="s">
        <v>69</v>
      </c>
      <c r="S112" s="324">
        <v>60</v>
      </c>
      <c r="T112" s="72">
        <f t="shared" si="41"/>
        <v>12</v>
      </c>
      <c r="U112" s="72">
        <f t="shared" si="42"/>
        <v>0</v>
      </c>
      <c r="V112" s="73">
        <f t="shared" si="43"/>
        <v>0</v>
      </c>
      <c r="W112" s="73">
        <f t="shared" si="44"/>
        <v>0</v>
      </c>
      <c r="X112" s="68">
        <f t="shared" si="45"/>
        <v>0</v>
      </c>
      <c r="Y112" s="74">
        <f t="shared" si="46"/>
        <v>0</v>
      </c>
      <c r="Z112" s="62">
        <f t="array" ref="Z112">_xlfn.IFS(AND(F112=3,G112&gt;90),(90*1)+((G112-90)*0.85),AND(F112=3.5,G112&gt;100),(100*1)+((G112-100)*0.85),AND(F112=4,G112&gt;110),(110*1)+((G112-110)*0.85),AND(F112=4.5,G112&gt;120),(120*1)+((G112-120)*0.85),AND(F112=5,G112&gt;125),(125*1)+((G112-125)*0.85),AND(F112=5.5,G112&gt;135),(135*1)+((G112-135)*0.85),AND(F112=6,G112&gt;145),(145*1)+((G112-145)*0.85),TRUE(),G112)</f>
        <v>79.989999999999995</v>
      </c>
      <c r="AA112" s="326">
        <v>0.01</v>
      </c>
      <c r="AC112" s="256" t="s">
        <v>121</v>
      </c>
      <c r="AD112" s="66">
        <v>60</v>
      </c>
      <c r="AE112" s="257" t="s">
        <v>67</v>
      </c>
    </row>
    <row r="113" spans="1:31" ht="14.25" customHeight="1" x14ac:dyDescent="0.3">
      <c r="A113" s="257" t="s">
        <v>67</v>
      </c>
      <c r="B113" s="66">
        <v>130</v>
      </c>
      <c r="C113" s="66">
        <v>61</v>
      </c>
      <c r="D113" s="67" t="s">
        <v>76</v>
      </c>
      <c r="E113" s="67">
        <v>16</v>
      </c>
      <c r="F113" s="67">
        <v>5</v>
      </c>
      <c r="G113" s="259">
        <v>125.32</v>
      </c>
      <c r="H113" s="259">
        <v>15</v>
      </c>
      <c r="I113" s="260">
        <v>6.28</v>
      </c>
      <c r="J113" s="323">
        <v>2</v>
      </c>
      <c r="K113" s="68"/>
      <c r="L113" s="67" t="s">
        <v>47</v>
      </c>
      <c r="M113" s="68"/>
      <c r="N113" s="68"/>
      <c r="O113" s="68"/>
      <c r="P113" s="68"/>
      <c r="Q113" s="68"/>
      <c r="R113" s="78" t="s">
        <v>69</v>
      </c>
      <c r="S113" s="324">
        <v>61</v>
      </c>
      <c r="T113" s="72">
        <f t="shared" si="41"/>
        <v>15</v>
      </c>
      <c r="U113" s="72">
        <f t="shared" si="42"/>
        <v>0</v>
      </c>
      <c r="V113" s="73">
        <f t="shared" si="43"/>
        <v>0</v>
      </c>
      <c r="W113" s="73">
        <f t="shared" si="44"/>
        <v>0</v>
      </c>
      <c r="X113" s="68">
        <f t="shared" si="45"/>
        <v>0</v>
      </c>
      <c r="Y113" s="74">
        <f t="shared" si="46"/>
        <v>0</v>
      </c>
      <c r="Z113" s="62">
        <f t="array" ref="Z113">_xlfn.IFS(AND(F113=3,G113&gt;90),(90*1)+((G113-90)*0.85),AND(F113=3.5,G113&gt;100),(100*1)+((G113-100)*0.85),AND(F113=4,G113&gt;110),(110*1)+((G113-110)*0.85),AND(F113=4.5,G113&gt;120),(120*1)+((G113-120)*0.85),AND(F113=5,G113&gt;125),(125*1)+((G113-125)*0.85),AND(F113=5.5,G113&gt;135),(135*1)+((G113-135)*0.85),AND(F113=6,G113&gt;145),(145*1)+((G113-145)*0.85),TRUE(),G113)</f>
        <v>125.27199999999999</v>
      </c>
      <c r="AA113" s="326">
        <v>1.4999999999999999E-2</v>
      </c>
      <c r="AC113" s="256" t="s">
        <v>119</v>
      </c>
      <c r="AD113" s="66">
        <v>61</v>
      </c>
      <c r="AE113" s="257" t="s">
        <v>67</v>
      </c>
    </row>
    <row r="114" spans="1:31" ht="15.6" x14ac:dyDescent="0.3">
      <c r="A114" s="257" t="s">
        <v>67</v>
      </c>
      <c r="B114" s="66">
        <v>130</v>
      </c>
      <c r="C114" s="66">
        <v>62</v>
      </c>
      <c r="D114" s="67" t="s">
        <v>123</v>
      </c>
      <c r="E114" s="67">
        <v>16</v>
      </c>
      <c r="F114" s="67">
        <v>4</v>
      </c>
      <c r="G114" s="259">
        <v>113.37</v>
      </c>
      <c r="H114" s="259">
        <v>14.77</v>
      </c>
      <c r="I114" s="260">
        <v>6.27</v>
      </c>
      <c r="J114" s="323">
        <v>1</v>
      </c>
      <c r="K114" s="68"/>
      <c r="L114" s="67" t="s">
        <v>47</v>
      </c>
      <c r="M114" s="68"/>
      <c r="N114" s="68"/>
      <c r="O114" s="68"/>
      <c r="P114" s="68"/>
      <c r="Q114" s="68"/>
      <c r="R114" s="78" t="s">
        <v>69</v>
      </c>
      <c r="S114" s="324">
        <v>62</v>
      </c>
      <c r="T114" s="72">
        <f t="shared" si="41"/>
        <v>14.77</v>
      </c>
      <c r="U114" s="72">
        <f t="shared" si="42"/>
        <v>0</v>
      </c>
      <c r="V114" s="73">
        <f t="shared" si="43"/>
        <v>0</v>
      </c>
      <c r="W114" s="73">
        <f t="shared" si="44"/>
        <v>0</v>
      </c>
      <c r="X114" s="68">
        <f t="shared" si="45"/>
        <v>0</v>
      </c>
      <c r="Y114" s="74">
        <f t="shared" si="46"/>
        <v>0</v>
      </c>
      <c r="Z114" s="62">
        <f t="array" ref="Z114">_xlfn.IFS(AND(F114=3,G114&gt;90),(90*1)+((G114-90)*0.85),AND(F114=3.5,G114&gt;100),(100*1)+((G114-100)*0.85),AND(F114=4,G114&gt;110),(110*1)+((G114-110)*0.85),AND(F114=4.5,G114&gt;120),(120*1)+((G114-120)*0.85),AND(F114=5,G114&gt;125),(125*1)+((G114-125)*0.85),AND(F114=5.5,G114&gt;135),(135*1)+((G114-135)*0.85),AND(F114=6,G114&gt;145),(145*1)+((G114-145)*0.85),TRUE(),G114)</f>
        <v>112.86450000000001</v>
      </c>
      <c r="AA114" s="326">
        <v>1.4999999999999999E-2</v>
      </c>
      <c r="AC114" s="256" t="s">
        <v>101</v>
      </c>
      <c r="AD114" s="66">
        <v>62</v>
      </c>
      <c r="AE114" s="257" t="s">
        <v>67</v>
      </c>
    </row>
    <row r="115" spans="1:31" ht="15.6" x14ac:dyDescent="0.3">
      <c r="A115" s="257" t="s">
        <v>67</v>
      </c>
      <c r="B115" s="66">
        <v>130</v>
      </c>
      <c r="C115" s="66">
        <v>63</v>
      </c>
      <c r="D115" s="79" t="s">
        <v>71</v>
      </c>
      <c r="E115" s="79">
        <v>16</v>
      </c>
      <c r="F115" s="67">
        <v>4</v>
      </c>
      <c r="G115" s="267">
        <v>103.66</v>
      </c>
      <c r="H115" s="267">
        <v>14.98</v>
      </c>
      <c r="I115" s="295">
        <v>6.72</v>
      </c>
      <c r="J115" s="323">
        <v>2</v>
      </c>
      <c r="K115" s="68">
        <f>(SUMPRODUCT(H115:J115,$H$9:$J$9)+$G$9*Z115+SUMPRODUCT(T115:W115,$T$9:$W$9))*$I$5</f>
        <v>1986222.2489199997</v>
      </c>
      <c r="L115" s="79" t="s">
        <v>54</v>
      </c>
      <c r="M115" s="68">
        <f t="shared" si="47"/>
        <v>2016015.5826537996</v>
      </c>
      <c r="N115" s="68">
        <f t="shared" si="48"/>
        <v>1716015.5826537996</v>
      </c>
      <c r="O115" s="68">
        <f t="shared" si="49"/>
        <v>2084560.1124640289</v>
      </c>
      <c r="P115" s="68">
        <f t="shared" si="50"/>
        <v>368544.52981022932</v>
      </c>
      <c r="Q115" s="68">
        <f t="shared" si="51"/>
        <v>1716015.5826537996</v>
      </c>
      <c r="R115" s="78" t="s">
        <v>69</v>
      </c>
      <c r="S115" s="324">
        <v>63</v>
      </c>
      <c r="T115" s="72">
        <f t="shared" si="41"/>
        <v>14.98</v>
      </c>
      <c r="U115" s="72">
        <f t="shared" si="42"/>
        <v>0</v>
      </c>
      <c r="V115" s="73">
        <f t="shared" si="43"/>
        <v>0</v>
      </c>
      <c r="W115" s="73">
        <f t="shared" si="44"/>
        <v>0</v>
      </c>
      <c r="X115" s="68">
        <f t="shared" si="45"/>
        <v>397244.44978399994</v>
      </c>
      <c r="Y115" s="74">
        <f t="shared" si="46"/>
        <v>300000</v>
      </c>
      <c r="Z115" s="62">
        <f t="array" ref="Z115">_xlfn.IFS(AND(F115=3,G115&gt;90),(90*1)+((G115-90)*0.85),AND(F115=3.5,G115&gt;100),(100*1)+((G115-100)*0.85),AND(F115=4,G115&gt;110),(110*1)+((G115-110)*0.85),AND(F115=4.5,G115&gt;120),(120*1)+((G115-120)*0.85),AND(F115=5,G115&gt;125),(125*1)+((G115-125)*0.85),AND(F115=5.5,G115&gt;135),(135*1)+((G115-135)*0.85),AND(F115=6,G115&gt;145),(145*1)+((G115-145)*0.85),TRUE(),G115)</f>
        <v>103.66</v>
      </c>
      <c r="AA115" s="326">
        <v>1.4999999999999999E-2</v>
      </c>
      <c r="AC115" s="256" t="s">
        <v>120</v>
      </c>
      <c r="AD115" s="66">
        <v>63</v>
      </c>
      <c r="AE115" s="257" t="s">
        <v>67</v>
      </c>
    </row>
    <row r="116" spans="1:31" ht="15.6" x14ac:dyDescent="0.3">
      <c r="A116" s="257" t="s">
        <v>67</v>
      </c>
      <c r="B116" s="66">
        <v>130</v>
      </c>
      <c r="C116" s="66">
        <v>64</v>
      </c>
      <c r="D116" s="67" t="s">
        <v>75</v>
      </c>
      <c r="E116" s="67">
        <v>16</v>
      </c>
      <c r="F116" s="67">
        <v>3</v>
      </c>
      <c r="G116" s="259">
        <v>79.989999999999995</v>
      </c>
      <c r="H116" s="259">
        <v>12</v>
      </c>
      <c r="I116" s="260">
        <v>6.72</v>
      </c>
      <c r="J116" s="323">
        <v>1</v>
      </c>
      <c r="K116" s="68"/>
      <c r="L116" s="67" t="s">
        <v>47</v>
      </c>
      <c r="M116" s="68"/>
      <c r="N116" s="68"/>
      <c r="O116" s="68"/>
      <c r="P116" s="68"/>
      <c r="Q116" s="68"/>
      <c r="R116" s="78" t="s">
        <v>69</v>
      </c>
      <c r="S116" s="324">
        <v>64</v>
      </c>
      <c r="T116" s="72">
        <f t="shared" si="41"/>
        <v>12</v>
      </c>
      <c r="U116" s="72">
        <f t="shared" si="42"/>
        <v>0</v>
      </c>
      <c r="V116" s="73">
        <f t="shared" si="43"/>
        <v>0</v>
      </c>
      <c r="W116" s="73">
        <f t="shared" si="44"/>
        <v>0</v>
      </c>
      <c r="X116" s="68">
        <f t="shared" si="45"/>
        <v>0</v>
      </c>
      <c r="Y116" s="74">
        <f t="shared" si="46"/>
        <v>0</v>
      </c>
      <c r="Z116" s="62">
        <f t="array" ref="Z116">_xlfn.IFS(AND(F116=3,G116&gt;90),(90*1)+((G116-90)*0.85),AND(F116=3.5,G116&gt;100),(100*1)+((G116-100)*0.85),AND(F116=4,G116&gt;110),(110*1)+((G116-110)*0.85),AND(F116=4.5,G116&gt;120),(120*1)+((G116-120)*0.85),AND(F116=5,G116&gt;125),(125*1)+((G116-125)*0.85),AND(F116=5.5,G116&gt;135),(135*1)+((G116-135)*0.85),AND(F116=6,G116&gt;145),(145*1)+((G116-145)*0.85),TRUE(),G116)</f>
        <v>79.989999999999995</v>
      </c>
      <c r="AA116" s="326">
        <v>1.4999999999999999E-2</v>
      </c>
      <c r="AC116" s="256" t="s">
        <v>121</v>
      </c>
      <c r="AD116" s="66">
        <v>64</v>
      </c>
      <c r="AE116" s="257" t="s">
        <v>67</v>
      </c>
    </row>
    <row r="117" spans="1:31" ht="15.6" x14ac:dyDescent="0.3">
      <c r="A117" s="257" t="s">
        <v>67</v>
      </c>
      <c r="B117" s="66">
        <v>130</v>
      </c>
      <c r="C117" s="66">
        <v>65</v>
      </c>
      <c r="D117" s="67" t="s">
        <v>76</v>
      </c>
      <c r="E117" s="67">
        <v>17</v>
      </c>
      <c r="F117" s="67">
        <v>5</v>
      </c>
      <c r="G117" s="259">
        <v>125.32</v>
      </c>
      <c r="H117" s="259">
        <v>15</v>
      </c>
      <c r="I117" s="260">
        <v>6.28</v>
      </c>
      <c r="J117" s="323">
        <v>2</v>
      </c>
      <c r="K117" s="68"/>
      <c r="L117" s="67" t="s">
        <v>47</v>
      </c>
      <c r="M117" s="68"/>
      <c r="N117" s="68"/>
      <c r="O117" s="68"/>
      <c r="P117" s="68"/>
      <c r="Q117" s="68"/>
      <c r="R117" s="78" t="s">
        <v>69</v>
      </c>
      <c r="S117" s="324">
        <v>65</v>
      </c>
      <c r="T117" s="72">
        <f t="shared" ref="T117:T145" si="52">IF((H117)&gt;30,30,(H117))</f>
        <v>15</v>
      </c>
      <c r="U117" s="72">
        <f t="shared" ref="U117:U145" si="53">IF((H117-T117)&gt;30,30,(H117-T117))</f>
        <v>0</v>
      </c>
      <c r="V117" s="73">
        <f t="shared" ref="V117:V145" si="54">IF((H117)&gt;120,60,(H117-T117-U117))</f>
        <v>0</v>
      </c>
      <c r="W117" s="73">
        <f t="shared" ref="W117:W145" si="55">IF((H117)&gt;120,(H117-120),0)</f>
        <v>0</v>
      </c>
      <c r="X117" s="68">
        <f t="shared" ref="X117:X145" si="56">K117*0.2</f>
        <v>0</v>
      </c>
      <c r="Y117" s="74">
        <f t="shared" ref="Y117:Y145" si="57">IF(X117&gt;300000,300000,X117)</f>
        <v>0</v>
      </c>
      <c r="Z117" s="62">
        <f t="array" ref="Z117">_xlfn.IFS(AND(F117=3,G117&gt;90),(90*1)+((G117-90)*0.85),AND(F117=3.5,G117&gt;100),(100*1)+((G117-100)*0.85),AND(F117=4,G117&gt;110),(110*1)+((G117-110)*0.85),AND(F117=4.5,G117&gt;120),(120*1)+((G117-120)*0.85),AND(F117=5,G117&gt;125),(125*1)+((G117-125)*0.85),AND(F117=5.5,G117&gt;135),(135*1)+((G117-135)*0.85),AND(F117=6,G117&gt;145),(145*1)+((G117-145)*0.85),TRUE(),G117)</f>
        <v>125.27199999999999</v>
      </c>
      <c r="AA117" s="326">
        <v>0.02</v>
      </c>
      <c r="AC117" s="256" t="s">
        <v>119</v>
      </c>
      <c r="AD117" s="66">
        <v>65</v>
      </c>
      <c r="AE117" s="257" t="s">
        <v>67</v>
      </c>
    </row>
    <row r="118" spans="1:31" ht="15.6" x14ac:dyDescent="0.3">
      <c r="A118" s="257" t="s">
        <v>67</v>
      </c>
      <c r="B118" s="66">
        <v>130</v>
      </c>
      <c r="C118" s="66">
        <v>66</v>
      </c>
      <c r="D118" s="67" t="s">
        <v>70</v>
      </c>
      <c r="E118" s="67">
        <v>17</v>
      </c>
      <c r="F118" s="67">
        <v>4</v>
      </c>
      <c r="G118" s="259">
        <v>113.37</v>
      </c>
      <c r="H118" s="259">
        <v>19.38</v>
      </c>
      <c r="I118" s="260">
        <v>6.27</v>
      </c>
      <c r="J118" s="323">
        <v>1</v>
      </c>
      <c r="K118" s="68"/>
      <c r="L118" s="67" t="s">
        <v>47</v>
      </c>
      <c r="M118" s="68"/>
      <c r="N118" s="68"/>
      <c r="O118" s="68"/>
      <c r="P118" s="68"/>
      <c r="Q118" s="68"/>
      <c r="R118" s="78" t="s">
        <v>69</v>
      </c>
      <c r="S118" s="324">
        <v>66</v>
      </c>
      <c r="T118" s="72">
        <f t="shared" si="52"/>
        <v>19.38</v>
      </c>
      <c r="U118" s="72">
        <f t="shared" si="53"/>
        <v>0</v>
      </c>
      <c r="V118" s="73">
        <f t="shared" si="54"/>
        <v>0</v>
      </c>
      <c r="W118" s="73">
        <f t="shared" si="55"/>
        <v>0</v>
      </c>
      <c r="X118" s="68">
        <f t="shared" si="56"/>
        <v>0</v>
      </c>
      <c r="Y118" s="74">
        <f t="shared" si="57"/>
        <v>0</v>
      </c>
      <c r="Z118" s="62">
        <f t="array" ref="Z118">_xlfn.IFS(AND(F118=3,G118&gt;90),(90*1)+((G118-90)*0.85),AND(F118=3.5,G118&gt;100),(100*1)+((G118-100)*0.85),AND(F118=4,G118&gt;110),(110*1)+((G118-110)*0.85),AND(F118=4.5,G118&gt;120),(120*1)+((G118-120)*0.85),AND(F118=5,G118&gt;125),(125*1)+((G118-125)*0.85),AND(F118=5.5,G118&gt;135),(135*1)+((G118-135)*0.85),AND(F118=6,G118&gt;145),(145*1)+((G118-145)*0.85),TRUE(),G118)</f>
        <v>112.86450000000001</v>
      </c>
      <c r="AA118" s="326">
        <v>0.02</v>
      </c>
      <c r="AC118" s="256" t="s">
        <v>101</v>
      </c>
      <c r="AD118" s="66">
        <v>66</v>
      </c>
      <c r="AE118" s="257" t="s">
        <v>67</v>
      </c>
    </row>
    <row r="119" spans="1:31" ht="15.6" x14ac:dyDescent="0.3">
      <c r="A119" s="257" t="s">
        <v>67</v>
      </c>
      <c r="B119" s="66">
        <v>130</v>
      </c>
      <c r="C119" s="66">
        <v>67</v>
      </c>
      <c r="D119" s="79" t="s">
        <v>71</v>
      </c>
      <c r="E119" s="79">
        <v>17</v>
      </c>
      <c r="F119" s="67">
        <v>4</v>
      </c>
      <c r="G119" s="267">
        <v>103.66</v>
      </c>
      <c r="H119" s="267">
        <v>14.98</v>
      </c>
      <c r="I119" s="295">
        <v>6.72</v>
      </c>
      <c r="J119" s="323">
        <v>2</v>
      </c>
      <c r="K119" s="68">
        <f>(SUMPRODUCT(H119:J119,$H$9:$J$9)+$G$9*Z119+SUMPRODUCT(T119:W119,$T$9:$W$9))*$I$5</f>
        <v>1986222.2489199997</v>
      </c>
      <c r="L119" s="79" t="s">
        <v>54</v>
      </c>
      <c r="M119" s="68">
        <f t="shared" ref="M119:M139" si="58">K119*(1+AA119)</f>
        <v>2025946.6938983998</v>
      </c>
      <c r="N119" s="68">
        <f t="shared" ref="N119:N139" si="59">M119-Y119</f>
        <v>1725946.6938983998</v>
      </c>
      <c r="O119" s="68">
        <f t="shared" ref="O119:O139" si="60">M119*(1+$K$8)</f>
        <v>2094828.8814909456</v>
      </c>
      <c r="P119" s="68">
        <f t="shared" ref="P119:P139" si="61">O119-N119</f>
        <v>368882.18759254576</v>
      </c>
      <c r="Q119" s="68">
        <f t="shared" ref="Q119:Q139" si="62">IF(P119&lt;500000,N119,P119-500000+N119)</f>
        <v>1725946.6938983998</v>
      </c>
      <c r="R119" s="78" t="s">
        <v>69</v>
      </c>
      <c r="S119" s="324">
        <v>67</v>
      </c>
      <c r="T119" s="72">
        <f t="shared" si="52"/>
        <v>14.98</v>
      </c>
      <c r="U119" s="72">
        <f t="shared" si="53"/>
        <v>0</v>
      </c>
      <c r="V119" s="73">
        <f t="shared" si="54"/>
        <v>0</v>
      </c>
      <c r="W119" s="73">
        <f t="shared" si="55"/>
        <v>0</v>
      </c>
      <c r="X119" s="68">
        <f t="shared" si="56"/>
        <v>397244.44978399994</v>
      </c>
      <c r="Y119" s="74">
        <f t="shared" si="57"/>
        <v>300000</v>
      </c>
      <c r="Z119" s="62">
        <f t="array" ref="Z119">_xlfn.IFS(AND(F119=3,G119&gt;90),(90*1)+((G119-90)*0.85),AND(F119=3.5,G119&gt;100),(100*1)+((G119-100)*0.85),AND(F119=4,G119&gt;110),(110*1)+((G119-110)*0.85),AND(F119=4.5,G119&gt;120),(120*1)+((G119-120)*0.85),AND(F119=5,G119&gt;125),(125*1)+((G119-125)*0.85),AND(F119=5.5,G119&gt;135),(135*1)+((G119-135)*0.85),AND(F119=6,G119&gt;145),(145*1)+((G119-145)*0.85),TRUE(),G119)</f>
        <v>103.66</v>
      </c>
      <c r="AA119" s="326">
        <v>0.02</v>
      </c>
      <c r="AC119" s="256" t="s">
        <v>120</v>
      </c>
      <c r="AD119" s="66">
        <v>67</v>
      </c>
      <c r="AE119" s="257" t="s">
        <v>67</v>
      </c>
    </row>
    <row r="120" spans="1:31" ht="15.6" x14ac:dyDescent="0.3">
      <c r="A120" s="257" t="s">
        <v>67</v>
      </c>
      <c r="B120" s="66">
        <v>130</v>
      </c>
      <c r="C120" s="66">
        <v>68</v>
      </c>
      <c r="D120" s="67" t="s">
        <v>75</v>
      </c>
      <c r="E120" s="67">
        <v>17</v>
      </c>
      <c r="F120" s="67">
        <v>3</v>
      </c>
      <c r="G120" s="259">
        <v>79.989999999999995</v>
      </c>
      <c r="H120" s="259">
        <v>12</v>
      </c>
      <c r="I120" s="260">
        <v>6.72</v>
      </c>
      <c r="J120" s="323">
        <v>1</v>
      </c>
      <c r="K120" s="68"/>
      <c r="L120" s="67" t="s">
        <v>47</v>
      </c>
      <c r="M120" s="68"/>
      <c r="N120" s="68"/>
      <c r="O120" s="68"/>
      <c r="P120" s="68"/>
      <c r="Q120" s="68"/>
      <c r="R120" s="78" t="s">
        <v>69</v>
      </c>
      <c r="S120" s="324">
        <v>68</v>
      </c>
      <c r="T120" s="72">
        <f t="shared" si="52"/>
        <v>12</v>
      </c>
      <c r="U120" s="72">
        <f t="shared" si="53"/>
        <v>0</v>
      </c>
      <c r="V120" s="73">
        <f t="shared" si="54"/>
        <v>0</v>
      </c>
      <c r="W120" s="73">
        <f t="shared" si="55"/>
        <v>0</v>
      </c>
      <c r="X120" s="68">
        <f t="shared" si="56"/>
        <v>0</v>
      </c>
      <c r="Y120" s="74">
        <f t="shared" si="57"/>
        <v>0</v>
      </c>
      <c r="Z120" s="62">
        <f t="array" ref="Z120">_xlfn.IFS(AND(F120=3,G120&gt;90),(90*1)+((G120-90)*0.85),AND(F120=3.5,G120&gt;100),(100*1)+((G120-100)*0.85),AND(F120=4,G120&gt;110),(110*1)+((G120-110)*0.85),AND(F120=4.5,G120&gt;120),(120*1)+((G120-120)*0.85),AND(F120=5,G120&gt;125),(125*1)+((G120-125)*0.85),AND(F120=5.5,G120&gt;135),(135*1)+((G120-135)*0.85),AND(F120=6,G120&gt;145),(145*1)+((G120-145)*0.85),TRUE(),G120)</f>
        <v>79.989999999999995</v>
      </c>
      <c r="AA120" s="326">
        <v>0.02</v>
      </c>
      <c r="AC120" s="256" t="s">
        <v>121</v>
      </c>
      <c r="AD120" s="66">
        <v>68</v>
      </c>
      <c r="AE120" s="257" t="s">
        <v>67</v>
      </c>
    </row>
    <row r="121" spans="1:31" ht="15.6" x14ac:dyDescent="0.3">
      <c r="A121" s="257" t="s">
        <v>67</v>
      </c>
      <c r="B121" s="66">
        <v>130</v>
      </c>
      <c r="C121" s="66">
        <v>69</v>
      </c>
      <c r="D121" s="67" t="s">
        <v>76</v>
      </c>
      <c r="E121" s="67">
        <v>18</v>
      </c>
      <c r="F121" s="67">
        <v>5</v>
      </c>
      <c r="G121" s="259">
        <v>125.32</v>
      </c>
      <c r="H121" s="259">
        <v>15</v>
      </c>
      <c r="I121" s="260">
        <v>6.28</v>
      </c>
      <c r="J121" s="323">
        <v>2</v>
      </c>
      <c r="K121" s="68"/>
      <c r="L121" s="67" t="s">
        <v>47</v>
      </c>
      <c r="M121" s="68"/>
      <c r="N121" s="68"/>
      <c r="O121" s="68"/>
      <c r="P121" s="68"/>
      <c r="Q121" s="68"/>
      <c r="R121" s="78" t="s">
        <v>69</v>
      </c>
      <c r="S121" s="324">
        <v>69</v>
      </c>
      <c r="T121" s="72">
        <f t="shared" si="52"/>
        <v>15</v>
      </c>
      <c r="U121" s="72">
        <f t="shared" si="53"/>
        <v>0</v>
      </c>
      <c r="V121" s="73">
        <f t="shared" si="54"/>
        <v>0</v>
      </c>
      <c r="W121" s="73">
        <f t="shared" si="55"/>
        <v>0</v>
      </c>
      <c r="X121" s="68">
        <f t="shared" si="56"/>
        <v>0</v>
      </c>
      <c r="Y121" s="74">
        <f t="shared" si="57"/>
        <v>0</v>
      </c>
      <c r="Z121" s="62">
        <f t="array" ref="Z121">_xlfn.IFS(AND(F121=3,G121&gt;90),(90*1)+((G121-90)*0.85),AND(F121=3.5,G121&gt;100),(100*1)+((G121-100)*0.85),AND(F121=4,G121&gt;110),(110*1)+((G121-110)*0.85),AND(F121=4.5,G121&gt;120),(120*1)+((G121-120)*0.85),AND(F121=5,G121&gt;125),(125*1)+((G121-125)*0.85),AND(F121=5.5,G121&gt;135),(135*1)+((G121-135)*0.85),AND(F121=6,G121&gt;145),(145*1)+((G121-145)*0.85),TRUE(),G121)</f>
        <v>125.27199999999999</v>
      </c>
      <c r="AA121" s="326">
        <v>2.5000000000000001E-2</v>
      </c>
      <c r="AC121" s="256" t="s">
        <v>119</v>
      </c>
      <c r="AD121" s="66">
        <v>69</v>
      </c>
      <c r="AE121" s="257" t="s">
        <v>67</v>
      </c>
    </row>
    <row r="122" spans="1:31" ht="15.6" x14ac:dyDescent="0.3">
      <c r="A122" s="257" t="s">
        <v>67</v>
      </c>
      <c r="B122" s="66">
        <v>130</v>
      </c>
      <c r="C122" s="66">
        <v>70</v>
      </c>
      <c r="D122" s="67" t="s">
        <v>123</v>
      </c>
      <c r="E122" s="67">
        <v>18</v>
      </c>
      <c r="F122" s="67">
        <v>4</v>
      </c>
      <c r="G122" s="259">
        <v>113.37</v>
      </c>
      <c r="H122" s="259">
        <v>14.77</v>
      </c>
      <c r="I122" s="260">
        <v>6.27</v>
      </c>
      <c r="J122" s="323">
        <v>1</v>
      </c>
      <c r="K122" s="68"/>
      <c r="L122" s="67" t="s">
        <v>47</v>
      </c>
      <c r="M122" s="68"/>
      <c r="N122" s="68"/>
      <c r="O122" s="68"/>
      <c r="P122" s="68"/>
      <c r="Q122" s="68"/>
      <c r="R122" s="78" t="s">
        <v>69</v>
      </c>
      <c r="S122" s="324">
        <v>70</v>
      </c>
      <c r="T122" s="72">
        <f t="shared" si="52"/>
        <v>14.77</v>
      </c>
      <c r="U122" s="72">
        <f t="shared" si="53"/>
        <v>0</v>
      </c>
      <c r="V122" s="73">
        <f t="shared" si="54"/>
        <v>0</v>
      </c>
      <c r="W122" s="73">
        <f t="shared" si="55"/>
        <v>0</v>
      </c>
      <c r="X122" s="68">
        <f t="shared" si="56"/>
        <v>0</v>
      </c>
      <c r="Y122" s="74">
        <f t="shared" si="57"/>
        <v>0</v>
      </c>
      <c r="Z122" s="62">
        <f t="array" ref="Z122">_xlfn.IFS(AND(F122=3,G122&gt;90),(90*1)+((G122-90)*0.85),AND(F122=3.5,G122&gt;100),(100*1)+((G122-100)*0.85),AND(F122=4,G122&gt;110),(110*1)+((G122-110)*0.85),AND(F122=4.5,G122&gt;120),(120*1)+((G122-120)*0.85),AND(F122=5,G122&gt;125),(125*1)+((G122-125)*0.85),AND(F122=5.5,G122&gt;135),(135*1)+((G122-135)*0.85),AND(F122=6,G122&gt;145),(145*1)+((G122-145)*0.85),TRUE(),G122)</f>
        <v>112.86450000000001</v>
      </c>
      <c r="AA122" s="326">
        <v>2.5000000000000001E-2</v>
      </c>
      <c r="AC122" s="256" t="s">
        <v>101</v>
      </c>
      <c r="AD122" s="66">
        <v>70</v>
      </c>
      <c r="AE122" s="257" t="s">
        <v>67</v>
      </c>
    </row>
    <row r="123" spans="1:31" ht="15.6" x14ac:dyDescent="0.3">
      <c r="A123" s="257" t="s">
        <v>67</v>
      </c>
      <c r="B123" s="66">
        <v>130</v>
      </c>
      <c r="C123" s="66">
        <v>71</v>
      </c>
      <c r="D123" s="79" t="s">
        <v>71</v>
      </c>
      <c r="E123" s="79">
        <v>18</v>
      </c>
      <c r="F123" s="67">
        <v>4</v>
      </c>
      <c r="G123" s="267">
        <v>103.66</v>
      </c>
      <c r="H123" s="267">
        <v>14.98</v>
      </c>
      <c r="I123" s="295">
        <v>6.72</v>
      </c>
      <c r="J123" s="323">
        <v>2</v>
      </c>
      <c r="K123" s="68">
        <f>(SUMPRODUCT(H123:J123,$H$9:$J$9)+$G$9*Z123+SUMPRODUCT(T123:W123,$T$9:$W$9))*$I$5</f>
        <v>1986222.2489199997</v>
      </c>
      <c r="L123" s="67" t="s">
        <v>54</v>
      </c>
      <c r="M123" s="68">
        <f t="shared" si="58"/>
        <v>2035877.8051429994</v>
      </c>
      <c r="N123" s="68">
        <f t="shared" si="59"/>
        <v>1735877.8051429994</v>
      </c>
      <c r="O123" s="68">
        <f t="shared" si="60"/>
        <v>2105097.6505178614</v>
      </c>
      <c r="P123" s="68">
        <f t="shared" si="61"/>
        <v>369219.84537486196</v>
      </c>
      <c r="Q123" s="68">
        <f t="shared" si="62"/>
        <v>1735877.8051429994</v>
      </c>
      <c r="R123" s="78" t="s">
        <v>69</v>
      </c>
      <c r="S123" s="324">
        <v>71</v>
      </c>
      <c r="T123" s="72">
        <f t="shared" si="52"/>
        <v>14.98</v>
      </c>
      <c r="U123" s="72">
        <f t="shared" si="53"/>
        <v>0</v>
      </c>
      <c r="V123" s="73">
        <f t="shared" si="54"/>
        <v>0</v>
      </c>
      <c r="W123" s="73">
        <f t="shared" si="55"/>
        <v>0</v>
      </c>
      <c r="X123" s="68">
        <f t="shared" si="56"/>
        <v>397244.44978399994</v>
      </c>
      <c r="Y123" s="74">
        <f t="shared" si="57"/>
        <v>300000</v>
      </c>
      <c r="Z123" s="62">
        <f t="array" ref="Z123">_xlfn.IFS(AND(F123=3,G123&gt;90),(90*1)+((G123-90)*0.85),AND(F123=3.5,G123&gt;100),(100*1)+((G123-100)*0.85),AND(F123=4,G123&gt;110),(110*1)+((G123-110)*0.85),AND(F123=4.5,G123&gt;120),(120*1)+((G123-120)*0.85),AND(F123=5,G123&gt;125),(125*1)+((G123-125)*0.85),AND(F123=5.5,G123&gt;135),(135*1)+((G123-135)*0.85),AND(F123=6,G123&gt;145),(145*1)+((G123-145)*0.85),TRUE(),G123)</f>
        <v>103.66</v>
      </c>
      <c r="AA123" s="326">
        <v>2.5000000000000001E-2</v>
      </c>
      <c r="AC123" s="256" t="s">
        <v>120</v>
      </c>
      <c r="AD123" s="66">
        <v>71</v>
      </c>
      <c r="AE123" s="257" t="s">
        <v>67</v>
      </c>
    </row>
    <row r="124" spans="1:31" ht="15.6" x14ac:dyDescent="0.3">
      <c r="A124" s="257" t="s">
        <v>67</v>
      </c>
      <c r="B124" s="66">
        <v>130</v>
      </c>
      <c r="C124" s="66">
        <v>72</v>
      </c>
      <c r="D124" s="67" t="s">
        <v>75</v>
      </c>
      <c r="E124" s="67">
        <v>18</v>
      </c>
      <c r="F124" s="67">
        <v>3</v>
      </c>
      <c r="G124" s="259">
        <v>79.989999999999995</v>
      </c>
      <c r="H124" s="259">
        <v>12</v>
      </c>
      <c r="I124" s="260">
        <v>6.72</v>
      </c>
      <c r="J124" s="323">
        <v>1</v>
      </c>
      <c r="K124" s="68"/>
      <c r="L124" s="67" t="s">
        <v>47</v>
      </c>
      <c r="M124" s="68"/>
      <c r="N124" s="68"/>
      <c r="O124" s="68"/>
      <c r="P124" s="68"/>
      <c r="Q124" s="68"/>
      <c r="R124" s="78" t="s">
        <v>69</v>
      </c>
      <c r="S124" s="324">
        <v>72</v>
      </c>
      <c r="T124" s="72">
        <f t="shared" si="52"/>
        <v>12</v>
      </c>
      <c r="U124" s="72">
        <f t="shared" si="53"/>
        <v>0</v>
      </c>
      <c r="V124" s="73">
        <f t="shared" si="54"/>
        <v>0</v>
      </c>
      <c r="W124" s="73">
        <f t="shared" si="55"/>
        <v>0</v>
      </c>
      <c r="X124" s="68">
        <f t="shared" si="56"/>
        <v>0</v>
      </c>
      <c r="Y124" s="74">
        <f t="shared" si="57"/>
        <v>0</v>
      </c>
      <c r="Z124" s="62">
        <f t="array" ref="Z124">_xlfn.IFS(AND(F124=3,G124&gt;90),(90*1)+((G124-90)*0.85),AND(F124=3.5,G124&gt;100),(100*1)+((G124-100)*0.85),AND(F124=4,G124&gt;110),(110*1)+((G124-110)*0.85),AND(F124=4.5,G124&gt;120),(120*1)+((G124-120)*0.85),AND(F124=5,G124&gt;125),(125*1)+((G124-125)*0.85),AND(F124=5.5,G124&gt;135),(135*1)+((G124-135)*0.85),AND(F124=6,G124&gt;145),(145*1)+((G124-145)*0.85),TRUE(),G124)</f>
        <v>79.989999999999995</v>
      </c>
      <c r="AA124" s="326">
        <v>2.5000000000000001E-2</v>
      </c>
      <c r="AC124" s="256" t="s">
        <v>121</v>
      </c>
      <c r="AD124" s="66">
        <v>72</v>
      </c>
      <c r="AE124" s="257" t="s">
        <v>67</v>
      </c>
    </row>
    <row r="125" spans="1:31" ht="15.6" x14ac:dyDescent="0.3">
      <c r="A125" s="257" t="s">
        <v>67</v>
      </c>
      <c r="B125" s="66">
        <v>130</v>
      </c>
      <c r="C125" s="66">
        <v>73</v>
      </c>
      <c r="D125" s="67" t="s">
        <v>76</v>
      </c>
      <c r="E125" s="67">
        <v>19</v>
      </c>
      <c r="F125" s="67">
        <v>5</v>
      </c>
      <c r="G125" s="259">
        <v>125.32</v>
      </c>
      <c r="H125" s="259">
        <v>15</v>
      </c>
      <c r="I125" s="260">
        <v>6.28</v>
      </c>
      <c r="J125" s="323">
        <v>2</v>
      </c>
      <c r="K125" s="68"/>
      <c r="L125" s="67" t="s">
        <v>47</v>
      </c>
      <c r="M125" s="68"/>
      <c r="N125" s="68"/>
      <c r="O125" s="68"/>
      <c r="P125" s="68"/>
      <c r="Q125" s="68"/>
      <c r="R125" s="78" t="s">
        <v>69</v>
      </c>
      <c r="S125" s="324">
        <v>73</v>
      </c>
      <c r="T125" s="72">
        <f t="shared" si="52"/>
        <v>15</v>
      </c>
      <c r="U125" s="72">
        <f t="shared" si="53"/>
        <v>0</v>
      </c>
      <c r="V125" s="73">
        <f t="shared" si="54"/>
        <v>0</v>
      </c>
      <c r="W125" s="73">
        <f t="shared" si="55"/>
        <v>0</v>
      </c>
      <c r="X125" s="68">
        <f t="shared" si="56"/>
        <v>0</v>
      </c>
      <c r="Y125" s="74">
        <f t="shared" si="57"/>
        <v>0</v>
      </c>
      <c r="Z125" s="62">
        <f t="array" ref="Z125">_xlfn.IFS(AND(F125=3,G125&gt;90),(90*1)+((G125-90)*0.85),AND(F125=3.5,G125&gt;100),(100*1)+((G125-100)*0.85),AND(F125=4,G125&gt;110),(110*1)+((G125-110)*0.85),AND(F125=4.5,G125&gt;120),(120*1)+((G125-120)*0.85),AND(F125=5,G125&gt;125),(125*1)+((G125-125)*0.85),AND(F125=5.5,G125&gt;135),(135*1)+((G125-135)*0.85),AND(F125=6,G125&gt;145),(145*1)+((G125-145)*0.85),TRUE(),G125)</f>
        <v>125.27199999999999</v>
      </c>
      <c r="AA125" s="326">
        <v>0.03</v>
      </c>
      <c r="AC125" s="256" t="s">
        <v>119</v>
      </c>
      <c r="AD125" s="66">
        <v>73</v>
      </c>
      <c r="AE125" s="257" t="s">
        <v>67</v>
      </c>
    </row>
    <row r="126" spans="1:31" ht="15.6" x14ac:dyDescent="0.3">
      <c r="A126" s="257" t="s">
        <v>67</v>
      </c>
      <c r="B126" s="66">
        <v>130</v>
      </c>
      <c r="C126" s="66">
        <v>74</v>
      </c>
      <c r="D126" s="67" t="s">
        <v>70</v>
      </c>
      <c r="E126" s="67">
        <v>19</v>
      </c>
      <c r="F126" s="67">
        <v>4</v>
      </c>
      <c r="G126" s="259">
        <v>113.37</v>
      </c>
      <c r="H126" s="259">
        <v>19.38</v>
      </c>
      <c r="I126" s="260">
        <v>6.27</v>
      </c>
      <c r="J126" s="323">
        <v>1</v>
      </c>
      <c r="K126" s="68"/>
      <c r="L126" s="67" t="s">
        <v>47</v>
      </c>
      <c r="M126" s="68"/>
      <c r="N126" s="68"/>
      <c r="O126" s="68"/>
      <c r="P126" s="68"/>
      <c r="Q126" s="68"/>
      <c r="R126" s="78" t="s">
        <v>69</v>
      </c>
      <c r="S126" s="324">
        <v>74</v>
      </c>
      <c r="T126" s="72">
        <f t="shared" si="52"/>
        <v>19.38</v>
      </c>
      <c r="U126" s="72">
        <f t="shared" si="53"/>
        <v>0</v>
      </c>
      <c r="V126" s="73">
        <f t="shared" si="54"/>
        <v>0</v>
      </c>
      <c r="W126" s="73">
        <f t="shared" si="55"/>
        <v>0</v>
      </c>
      <c r="X126" s="68">
        <f t="shared" si="56"/>
        <v>0</v>
      </c>
      <c r="Y126" s="74">
        <f t="shared" si="57"/>
        <v>0</v>
      </c>
      <c r="Z126" s="62">
        <f t="array" ref="Z126">_xlfn.IFS(AND(F126=3,G126&gt;90),(90*1)+((G126-90)*0.85),AND(F126=3.5,G126&gt;100),(100*1)+((G126-100)*0.85),AND(F126=4,G126&gt;110),(110*1)+((G126-110)*0.85),AND(F126=4.5,G126&gt;120),(120*1)+((G126-120)*0.85),AND(F126=5,G126&gt;125),(125*1)+((G126-125)*0.85),AND(F126=5.5,G126&gt;135),(135*1)+((G126-135)*0.85),AND(F126=6,G126&gt;145),(145*1)+((G126-145)*0.85),TRUE(),G126)</f>
        <v>112.86450000000001</v>
      </c>
      <c r="AA126" s="326">
        <v>0.03</v>
      </c>
      <c r="AC126" s="256" t="s">
        <v>101</v>
      </c>
      <c r="AD126" s="66">
        <v>74</v>
      </c>
      <c r="AE126" s="257" t="s">
        <v>67</v>
      </c>
    </row>
    <row r="127" spans="1:31" ht="15.6" x14ac:dyDescent="0.3">
      <c r="A127" s="257" t="s">
        <v>67</v>
      </c>
      <c r="B127" s="66">
        <v>130</v>
      </c>
      <c r="C127" s="66">
        <v>75</v>
      </c>
      <c r="D127" s="79" t="s">
        <v>71</v>
      </c>
      <c r="E127" s="79">
        <v>19</v>
      </c>
      <c r="F127" s="67">
        <v>4</v>
      </c>
      <c r="G127" s="267">
        <v>103.66</v>
      </c>
      <c r="H127" s="267">
        <v>14.98</v>
      </c>
      <c r="I127" s="295">
        <v>6.72</v>
      </c>
      <c r="J127" s="323">
        <v>2</v>
      </c>
      <c r="K127" s="68">
        <f>(SUMPRODUCT(H127:J127,$H$9:$J$9)+$G$9*Z127+SUMPRODUCT(T127:W127,$T$9:$W$9))*$I$5</f>
        <v>1986222.2489199997</v>
      </c>
      <c r="L127" s="67" t="s">
        <v>54</v>
      </c>
      <c r="M127" s="68">
        <f t="shared" si="58"/>
        <v>2045808.9163875997</v>
      </c>
      <c r="N127" s="68">
        <f t="shared" si="59"/>
        <v>1745808.9163875997</v>
      </c>
      <c r="O127" s="68">
        <f t="shared" si="60"/>
        <v>2115366.4195447783</v>
      </c>
      <c r="P127" s="68">
        <f t="shared" si="61"/>
        <v>369557.50315717864</v>
      </c>
      <c r="Q127" s="68">
        <f t="shared" si="62"/>
        <v>1745808.9163875997</v>
      </c>
      <c r="R127" s="78" t="s">
        <v>69</v>
      </c>
      <c r="S127" s="324">
        <v>75</v>
      </c>
      <c r="T127" s="72">
        <f t="shared" si="52"/>
        <v>14.98</v>
      </c>
      <c r="U127" s="72">
        <f t="shared" si="53"/>
        <v>0</v>
      </c>
      <c r="V127" s="73">
        <f t="shared" si="54"/>
        <v>0</v>
      </c>
      <c r="W127" s="73">
        <f t="shared" si="55"/>
        <v>0</v>
      </c>
      <c r="X127" s="68">
        <f t="shared" si="56"/>
        <v>397244.44978399994</v>
      </c>
      <c r="Y127" s="74">
        <f t="shared" si="57"/>
        <v>300000</v>
      </c>
      <c r="Z127" s="62">
        <f t="array" ref="Z127">_xlfn.IFS(AND(F127=3,G127&gt;90),(90*1)+((G127-90)*0.85),AND(F127=3.5,G127&gt;100),(100*1)+((G127-100)*0.85),AND(F127=4,G127&gt;110),(110*1)+((G127-110)*0.85),AND(F127=4.5,G127&gt;120),(120*1)+((G127-120)*0.85),AND(F127=5,G127&gt;125),(125*1)+((G127-125)*0.85),AND(F127=5.5,G127&gt;135),(135*1)+((G127-135)*0.85),AND(F127=6,G127&gt;145),(145*1)+((G127-145)*0.85),TRUE(),G127)</f>
        <v>103.66</v>
      </c>
      <c r="AA127" s="326">
        <v>0.03</v>
      </c>
      <c r="AC127" s="256" t="s">
        <v>120</v>
      </c>
      <c r="AD127" s="66">
        <v>75</v>
      </c>
      <c r="AE127" s="257" t="s">
        <v>67</v>
      </c>
    </row>
    <row r="128" spans="1:31" ht="15.6" x14ac:dyDescent="0.3">
      <c r="A128" s="257" t="s">
        <v>67</v>
      </c>
      <c r="B128" s="66">
        <v>130</v>
      </c>
      <c r="C128" s="66">
        <v>76</v>
      </c>
      <c r="D128" s="67" t="s">
        <v>75</v>
      </c>
      <c r="E128" s="67">
        <v>19</v>
      </c>
      <c r="F128" s="67">
        <v>3</v>
      </c>
      <c r="G128" s="259">
        <v>79.989999999999995</v>
      </c>
      <c r="H128" s="259">
        <v>12</v>
      </c>
      <c r="I128" s="260">
        <v>6.72</v>
      </c>
      <c r="J128" s="323">
        <v>1</v>
      </c>
      <c r="K128" s="68"/>
      <c r="L128" s="67" t="s">
        <v>47</v>
      </c>
      <c r="M128" s="68"/>
      <c r="N128" s="68"/>
      <c r="O128" s="68"/>
      <c r="P128" s="68"/>
      <c r="Q128" s="68"/>
      <c r="R128" s="78" t="s">
        <v>69</v>
      </c>
      <c r="S128" s="324">
        <v>76</v>
      </c>
      <c r="T128" s="72">
        <f t="shared" si="52"/>
        <v>12</v>
      </c>
      <c r="U128" s="72">
        <f t="shared" si="53"/>
        <v>0</v>
      </c>
      <c r="V128" s="73">
        <f t="shared" si="54"/>
        <v>0</v>
      </c>
      <c r="W128" s="73">
        <f t="shared" si="55"/>
        <v>0</v>
      </c>
      <c r="X128" s="68">
        <f t="shared" si="56"/>
        <v>0</v>
      </c>
      <c r="Y128" s="74">
        <f t="shared" si="57"/>
        <v>0</v>
      </c>
      <c r="Z128" s="62">
        <f t="array" ref="Z128">_xlfn.IFS(AND(F128=3,G128&gt;90),(90*1)+((G128-90)*0.85),AND(F128=3.5,G128&gt;100),(100*1)+((G128-100)*0.85),AND(F128=4,G128&gt;110),(110*1)+((G128-110)*0.85),AND(F128=4.5,G128&gt;120),(120*1)+((G128-120)*0.85),AND(F128=5,G128&gt;125),(125*1)+((G128-125)*0.85),AND(F128=5.5,G128&gt;135),(135*1)+((G128-135)*0.85),AND(F128=6,G128&gt;145),(145*1)+((G128-145)*0.85),TRUE(),G128)</f>
        <v>79.989999999999995</v>
      </c>
      <c r="AA128" s="326">
        <v>0.03</v>
      </c>
      <c r="AC128" s="256" t="s">
        <v>121</v>
      </c>
      <c r="AD128" s="66">
        <v>76</v>
      </c>
      <c r="AE128" s="257" t="s">
        <v>67</v>
      </c>
    </row>
    <row r="129" spans="1:31" ht="15.6" x14ac:dyDescent="0.3">
      <c r="A129" s="257" t="s">
        <v>67</v>
      </c>
      <c r="B129" s="66">
        <v>130</v>
      </c>
      <c r="C129" s="66">
        <v>77</v>
      </c>
      <c r="D129" s="67" t="s">
        <v>76</v>
      </c>
      <c r="E129" s="67">
        <v>20</v>
      </c>
      <c r="F129" s="67">
        <v>5</v>
      </c>
      <c r="G129" s="259">
        <v>125.32</v>
      </c>
      <c r="H129" s="259">
        <v>15</v>
      </c>
      <c r="I129" s="260">
        <v>6.28</v>
      </c>
      <c r="J129" s="323">
        <v>2</v>
      </c>
      <c r="K129" s="68"/>
      <c r="L129" s="67" t="s">
        <v>47</v>
      </c>
      <c r="M129" s="68"/>
      <c r="N129" s="68"/>
      <c r="O129" s="68"/>
      <c r="P129" s="68"/>
      <c r="Q129" s="68"/>
      <c r="R129" s="78" t="s">
        <v>69</v>
      </c>
      <c r="S129" s="324">
        <v>77</v>
      </c>
      <c r="T129" s="72">
        <f t="shared" si="52"/>
        <v>15</v>
      </c>
      <c r="U129" s="72">
        <f t="shared" si="53"/>
        <v>0</v>
      </c>
      <c r="V129" s="73">
        <f t="shared" si="54"/>
        <v>0</v>
      </c>
      <c r="W129" s="73">
        <f t="shared" si="55"/>
        <v>0</v>
      </c>
      <c r="X129" s="68">
        <f t="shared" si="56"/>
        <v>0</v>
      </c>
      <c r="Y129" s="74">
        <f t="shared" si="57"/>
        <v>0</v>
      </c>
      <c r="Z129" s="62">
        <f t="array" ref="Z129">_xlfn.IFS(AND(F129=3,G129&gt;90),(90*1)+((G129-90)*0.85),AND(F129=3.5,G129&gt;100),(100*1)+((G129-100)*0.85),AND(F129=4,G129&gt;110),(110*1)+((G129-110)*0.85),AND(F129=4.5,G129&gt;120),(120*1)+((G129-120)*0.85),AND(F129=5,G129&gt;125),(125*1)+((G129-125)*0.85),AND(F129=5.5,G129&gt;135),(135*1)+((G129-135)*0.85),AND(F129=6,G129&gt;145),(145*1)+((G129-145)*0.85),TRUE(),G129)</f>
        <v>125.27199999999999</v>
      </c>
      <c r="AA129" s="326">
        <v>3.5000000000000003E-2</v>
      </c>
      <c r="AC129" s="256" t="s">
        <v>119</v>
      </c>
      <c r="AD129" s="66">
        <v>77</v>
      </c>
      <c r="AE129" s="257" t="s">
        <v>67</v>
      </c>
    </row>
    <row r="130" spans="1:31" ht="15.6" x14ac:dyDescent="0.3">
      <c r="A130" s="257" t="s">
        <v>67</v>
      </c>
      <c r="B130" s="66">
        <v>130</v>
      </c>
      <c r="C130" s="66">
        <v>78</v>
      </c>
      <c r="D130" s="67" t="s">
        <v>123</v>
      </c>
      <c r="E130" s="67">
        <v>20</v>
      </c>
      <c r="F130" s="67">
        <v>4</v>
      </c>
      <c r="G130" s="259">
        <v>113.37</v>
      </c>
      <c r="H130" s="259">
        <v>14.77</v>
      </c>
      <c r="I130" s="260">
        <v>6.27</v>
      </c>
      <c r="J130" s="323">
        <v>1</v>
      </c>
      <c r="K130" s="68"/>
      <c r="L130" s="67" t="s">
        <v>47</v>
      </c>
      <c r="M130" s="68"/>
      <c r="N130" s="68"/>
      <c r="O130" s="68"/>
      <c r="P130" s="68"/>
      <c r="Q130" s="68"/>
      <c r="R130" s="78" t="s">
        <v>69</v>
      </c>
      <c r="S130" s="324">
        <v>78</v>
      </c>
      <c r="T130" s="72">
        <f t="shared" si="52"/>
        <v>14.77</v>
      </c>
      <c r="U130" s="72">
        <f t="shared" si="53"/>
        <v>0</v>
      </c>
      <c r="V130" s="73">
        <f t="shared" si="54"/>
        <v>0</v>
      </c>
      <c r="W130" s="73">
        <f t="shared" si="55"/>
        <v>0</v>
      </c>
      <c r="X130" s="68">
        <f t="shared" si="56"/>
        <v>0</v>
      </c>
      <c r="Y130" s="74">
        <f t="shared" si="57"/>
        <v>0</v>
      </c>
      <c r="Z130" s="62">
        <f t="array" ref="Z130">_xlfn.IFS(AND(F130=3,G130&gt;90),(90*1)+((G130-90)*0.85),AND(F130=3.5,G130&gt;100),(100*1)+((G130-100)*0.85),AND(F130=4,G130&gt;110),(110*1)+((G130-110)*0.85),AND(F130=4.5,G130&gt;120),(120*1)+((G130-120)*0.85),AND(F130=5,G130&gt;125),(125*1)+((G130-125)*0.85),AND(F130=5.5,G130&gt;135),(135*1)+((G130-135)*0.85),AND(F130=6,G130&gt;145),(145*1)+((G130-145)*0.85),TRUE(),G130)</f>
        <v>112.86450000000001</v>
      </c>
      <c r="AA130" s="326">
        <v>3.5000000000000003E-2</v>
      </c>
      <c r="AC130" s="256" t="s">
        <v>101</v>
      </c>
      <c r="AD130" s="66">
        <v>78</v>
      </c>
      <c r="AE130" s="257" t="s">
        <v>67</v>
      </c>
    </row>
    <row r="131" spans="1:31" ht="15.6" x14ac:dyDescent="0.3">
      <c r="A131" s="257" t="s">
        <v>67</v>
      </c>
      <c r="B131" s="66">
        <v>130</v>
      </c>
      <c r="C131" s="66">
        <v>79</v>
      </c>
      <c r="D131" s="79" t="s">
        <v>71</v>
      </c>
      <c r="E131" s="79">
        <v>20</v>
      </c>
      <c r="F131" s="67">
        <v>4</v>
      </c>
      <c r="G131" s="267">
        <v>103.66</v>
      </c>
      <c r="H131" s="267">
        <v>14.98</v>
      </c>
      <c r="I131" s="295">
        <v>6.72</v>
      </c>
      <c r="J131" s="323">
        <v>2</v>
      </c>
      <c r="K131" s="68">
        <f>(SUMPRODUCT(H131:J131,$H$9:$J$9)+$G$9*Z131+SUMPRODUCT(T131:W131,$T$9:$W$9))*$I$5</f>
        <v>1986222.2489199997</v>
      </c>
      <c r="L131" s="67" t="s">
        <v>54</v>
      </c>
      <c r="M131" s="68">
        <f t="shared" si="58"/>
        <v>2055740.0276321995</v>
      </c>
      <c r="N131" s="68">
        <f t="shared" si="59"/>
        <v>1755740.0276321995</v>
      </c>
      <c r="O131" s="68">
        <f t="shared" si="60"/>
        <v>2125635.1885716943</v>
      </c>
      <c r="P131" s="68">
        <f t="shared" si="61"/>
        <v>369895.16093949485</v>
      </c>
      <c r="Q131" s="68">
        <f t="shared" si="62"/>
        <v>1755740.0276321995</v>
      </c>
      <c r="R131" s="78" t="s">
        <v>69</v>
      </c>
      <c r="S131" s="324">
        <v>79</v>
      </c>
      <c r="T131" s="72">
        <f t="shared" si="52"/>
        <v>14.98</v>
      </c>
      <c r="U131" s="72">
        <f t="shared" si="53"/>
        <v>0</v>
      </c>
      <c r="V131" s="73">
        <f t="shared" si="54"/>
        <v>0</v>
      </c>
      <c r="W131" s="73">
        <f t="shared" si="55"/>
        <v>0</v>
      </c>
      <c r="X131" s="68">
        <f t="shared" si="56"/>
        <v>397244.44978399994</v>
      </c>
      <c r="Y131" s="74">
        <f t="shared" si="57"/>
        <v>300000</v>
      </c>
      <c r="Z131" s="62">
        <f t="array" ref="Z131">_xlfn.IFS(AND(F131=3,G131&gt;90),(90*1)+((G131-90)*0.85),AND(F131=3.5,G131&gt;100),(100*1)+((G131-100)*0.85),AND(F131=4,G131&gt;110),(110*1)+((G131-110)*0.85),AND(F131=4.5,G131&gt;120),(120*1)+((G131-120)*0.85),AND(F131=5,G131&gt;125),(125*1)+((G131-125)*0.85),AND(F131=5.5,G131&gt;135),(135*1)+((G131-135)*0.85),AND(F131=6,G131&gt;145),(145*1)+((G131-145)*0.85),TRUE(),G131)</f>
        <v>103.66</v>
      </c>
      <c r="AA131" s="326">
        <v>3.5000000000000003E-2</v>
      </c>
      <c r="AC131" s="256" t="s">
        <v>120</v>
      </c>
      <c r="AD131" s="66">
        <v>79</v>
      </c>
      <c r="AE131" s="257" t="s">
        <v>67</v>
      </c>
    </row>
    <row r="132" spans="1:31" ht="15.6" x14ac:dyDescent="0.3">
      <c r="A132" s="257" t="s">
        <v>67</v>
      </c>
      <c r="B132" s="66">
        <v>130</v>
      </c>
      <c r="C132" s="66">
        <v>80</v>
      </c>
      <c r="D132" s="67" t="s">
        <v>77</v>
      </c>
      <c r="E132" s="67">
        <v>20</v>
      </c>
      <c r="F132" s="67">
        <v>3</v>
      </c>
      <c r="G132" s="259">
        <v>81.349999999999994</v>
      </c>
      <c r="H132" s="259">
        <v>12</v>
      </c>
      <c r="I132" s="260">
        <v>6.72</v>
      </c>
      <c r="J132" s="323">
        <v>1</v>
      </c>
      <c r="K132" s="68"/>
      <c r="L132" s="67" t="s">
        <v>47</v>
      </c>
      <c r="M132" s="68"/>
      <c r="N132" s="68"/>
      <c r="O132" s="68"/>
      <c r="P132" s="68"/>
      <c r="Q132" s="68"/>
      <c r="R132" s="78" t="s">
        <v>69</v>
      </c>
      <c r="S132" s="324">
        <v>80</v>
      </c>
      <c r="T132" s="72">
        <f t="shared" si="52"/>
        <v>12</v>
      </c>
      <c r="U132" s="72">
        <f t="shared" si="53"/>
        <v>0</v>
      </c>
      <c r="V132" s="73">
        <f t="shared" si="54"/>
        <v>0</v>
      </c>
      <c r="W132" s="73">
        <f t="shared" si="55"/>
        <v>0</v>
      </c>
      <c r="X132" s="68">
        <f t="shared" si="56"/>
        <v>0</v>
      </c>
      <c r="Y132" s="74">
        <f t="shared" si="57"/>
        <v>0</v>
      </c>
      <c r="Z132" s="62">
        <f t="array" ref="Z132">_xlfn.IFS(AND(F132=3,G132&gt;90),(90*1)+((G132-90)*0.85),AND(F132=3.5,G132&gt;100),(100*1)+((G132-100)*0.85),AND(F132=4,G132&gt;110),(110*1)+((G132-110)*0.85),AND(F132=4.5,G132&gt;120),(120*1)+((G132-120)*0.85),AND(F132=5,G132&gt;125),(125*1)+((G132-125)*0.85),AND(F132=5.5,G132&gt;135),(135*1)+((G132-135)*0.85),AND(F132=6,G132&gt;145),(145*1)+((G132-145)*0.85),TRUE(),G132)</f>
        <v>81.349999999999994</v>
      </c>
      <c r="AA132" s="326">
        <v>3.5000000000000003E-2</v>
      </c>
      <c r="AC132" s="256" t="s">
        <v>121</v>
      </c>
      <c r="AD132" s="66">
        <v>80</v>
      </c>
      <c r="AE132" s="257" t="s">
        <v>67</v>
      </c>
    </row>
    <row r="133" spans="1:31" ht="15.6" x14ac:dyDescent="0.3">
      <c r="A133" s="257" t="s">
        <v>67</v>
      </c>
      <c r="B133" s="66">
        <v>130</v>
      </c>
      <c r="C133" s="66">
        <v>81</v>
      </c>
      <c r="D133" s="67" t="s">
        <v>76</v>
      </c>
      <c r="E133" s="67">
        <v>21</v>
      </c>
      <c r="F133" s="67">
        <v>5</v>
      </c>
      <c r="G133" s="259">
        <v>125.32</v>
      </c>
      <c r="H133" s="259">
        <v>15</v>
      </c>
      <c r="I133" s="260">
        <v>6.28</v>
      </c>
      <c r="J133" s="323">
        <v>2</v>
      </c>
      <c r="K133" s="68"/>
      <c r="L133" s="67" t="s">
        <v>47</v>
      </c>
      <c r="M133" s="68"/>
      <c r="N133" s="68"/>
      <c r="O133" s="68"/>
      <c r="P133" s="68"/>
      <c r="Q133" s="68"/>
      <c r="R133" s="78" t="s">
        <v>69</v>
      </c>
      <c r="S133" s="324">
        <v>81</v>
      </c>
      <c r="T133" s="72">
        <f t="shared" si="52"/>
        <v>15</v>
      </c>
      <c r="U133" s="72">
        <f t="shared" si="53"/>
        <v>0</v>
      </c>
      <c r="V133" s="73">
        <f t="shared" si="54"/>
        <v>0</v>
      </c>
      <c r="W133" s="73">
        <f t="shared" si="55"/>
        <v>0</v>
      </c>
      <c r="X133" s="68">
        <f t="shared" si="56"/>
        <v>0</v>
      </c>
      <c r="Y133" s="74">
        <f t="shared" si="57"/>
        <v>0</v>
      </c>
      <c r="Z133" s="62">
        <f t="array" ref="Z133">_xlfn.IFS(AND(F133=3,G133&gt;90),(90*1)+((G133-90)*0.85),AND(F133=3.5,G133&gt;100),(100*1)+((G133-100)*0.85),AND(F133=4,G133&gt;110),(110*1)+((G133-110)*0.85),AND(F133=4.5,G133&gt;120),(120*1)+((G133-120)*0.85),AND(F133=5,G133&gt;125),(125*1)+((G133-125)*0.85),AND(F133=5.5,G133&gt;135),(135*1)+((G133-135)*0.85),AND(F133=6,G133&gt;145),(145*1)+((G133-145)*0.85),TRUE(),G133)</f>
        <v>125.27199999999999</v>
      </c>
      <c r="AA133" s="326">
        <v>0.04</v>
      </c>
      <c r="AC133" s="256" t="s">
        <v>119</v>
      </c>
      <c r="AD133" s="66">
        <v>81</v>
      </c>
      <c r="AE133" s="257" t="s">
        <v>67</v>
      </c>
    </row>
    <row r="134" spans="1:31" ht="15.6" x14ac:dyDescent="0.3">
      <c r="A134" s="257" t="s">
        <v>67</v>
      </c>
      <c r="B134" s="66">
        <v>130</v>
      </c>
      <c r="C134" s="66">
        <v>82</v>
      </c>
      <c r="D134" s="67" t="s">
        <v>70</v>
      </c>
      <c r="E134" s="67">
        <v>21</v>
      </c>
      <c r="F134" s="67">
        <v>4</v>
      </c>
      <c r="G134" s="259">
        <v>113.37</v>
      </c>
      <c r="H134" s="259">
        <v>19.38</v>
      </c>
      <c r="I134" s="260">
        <v>6.27</v>
      </c>
      <c r="J134" s="323">
        <v>1</v>
      </c>
      <c r="K134" s="68"/>
      <c r="L134" s="67" t="s">
        <v>47</v>
      </c>
      <c r="M134" s="68"/>
      <c r="N134" s="68"/>
      <c r="O134" s="68"/>
      <c r="P134" s="68"/>
      <c r="Q134" s="68"/>
      <c r="R134" s="78" t="s">
        <v>69</v>
      </c>
      <c r="S134" s="324">
        <v>82</v>
      </c>
      <c r="T134" s="72">
        <f t="shared" si="52"/>
        <v>19.38</v>
      </c>
      <c r="U134" s="72">
        <f t="shared" si="53"/>
        <v>0</v>
      </c>
      <c r="V134" s="73">
        <f t="shared" si="54"/>
        <v>0</v>
      </c>
      <c r="W134" s="73">
        <f t="shared" si="55"/>
        <v>0</v>
      </c>
      <c r="X134" s="68">
        <f t="shared" si="56"/>
        <v>0</v>
      </c>
      <c r="Y134" s="74">
        <f t="shared" si="57"/>
        <v>0</v>
      </c>
      <c r="Z134" s="62">
        <f t="array" ref="Z134">_xlfn.IFS(AND(F134=3,G134&gt;90),(90*1)+((G134-90)*0.85),AND(F134=3.5,G134&gt;100),(100*1)+((G134-100)*0.85),AND(F134=4,G134&gt;110),(110*1)+((G134-110)*0.85),AND(F134=4.5,G134&gt;120),(120*1)+((G134-120)*0.85),AND(F134=5,G134&gt;125),(125*1)+((G134-125)*0.85),AND(F134=5.5,G134&gt;135),(135*1)+((G134-135)*0.85),AND(F134=6,G134&gt;145),(145*1)+((G134-145)*0.85),TRUE(),G134)</f>
        <v>112.86450000000001</v>
      </c>
      <c r="AA134" s="326">
        <v>0.04</v>
      </c>
      <c r="AC134" s="256" t="s">
        <v>101</v>
      </c>
      <c r="AD134" s="66">
        <v>82</v>
      </c>
      <c r="AE134" s="257" t="s">
        <v>67</v>
      </c>
    </row>
    <row r="135" spans="1:31" ht="15.6" x14ac:dyDescent="0.3">
      <c r="A135" s="257" t="s">
        <v>67</v>
      </c>
      <c r="B135" s="66">
        <v>130</v>
      </c>
      <c r="C135" s="66">
        <v>83</v>
      </c>
      <c r="D135" s="79" t="s">
        <v>71</v>
      </c>
      <c r="E135" s="79">
        <v>21</v>
      </c>
      <c r="F135" s="67">
        <v>4</v>
      </c>
      <c r="G135" s="267">
        <v>103.66</v>
      </c>
      <c r="H135" s="267">
        <v>14.98</v>
      </c>
      <c r="I135" s="295">
        <v>6.72</v>
      </c>
      <c r="J135" s="323">
        <v>2</v>
      </c>
      <c r="K135" s="68">
        <f>(SUMPRODUCT(H135:J135,$H$9:$J$9)+$G$9*Z135+SUMPRODUCT(T135:W135,$T$9:$W$9))*$I$5</f>
        <v>1986222.2489199997</v>
      </c>
      <c r="L135" s="67" t="s">
        <v>54</v>
      </c>
      <c r="M135" s="68">
        <f t="shared" si="58"/>
        <v>2065671.1388767997</v>
      </c>
      <c r="N135" s="68">
        <f t="shared" si="59"/>
        <v>1765671.1388767997</v>
      </c>
      <c r="O135" s="68">
        <f t="shared" si="60"/>
        <v>2135903.9575986108</v>
      </c>
      <c r="P135" s="68">
        <f t="shared" si="61"/>
        <v>370232.81872181105</v>
      </c>
      <c r="Q135" s="68">
        <f t="shared" si="62"/>
        <v>1765671.1388767997</v>
      </c>
      <c r="R135" s="78" t="s">
        <v>69</v>
      </c>
      <c r="S135" s="324">
        <v>83</v>
      </c>
      <c r="T135" s="72">
        <f t="shared" si="52"/>
        <v>14.98</v>
      </c>
      <c r="U135" s="72">
        <f t="shared" si="53"/>
        <v>0</v>
      </c>
      <c r="V135" s="73">
        <f t="shared" si="54"/>
        <v>0</v>
      </c>
      <c r="W135" s="73">
        <f t="shared" si="55"/>
        <v>0</v>
      </c>
      <c r="X135" s="68">
        <f t="shared" si="56"/>
        <v>397244.44978399994</v>
      </c>
      <c r="Y135" s="74">
        <f t="shared" si="57"/>
        <v>300000</v>
      </c>
      <c r="Z135" s="62">
        <f t="array" ref="Z135">_xlfn.IFS(AND(F135=3,G135&gt;90),(90*1)+((G135-90)*0.85),AND(F135=3.5,G135&gt;100),(100*1)+((G135-100)*0.85),AND(F135=4,G135&gt;110),(110*1)+((G135-110)*0.85),AND(F135=4.5,G135&gt;120),(120*1)+((G135-120)*0.85),AND(F135=5,G135&gt;125),(125*1)+((G135-125)*0.85),AND(F135=5.5,G135&gt;135),(135*1)+((G135-135)*0.85),AND(F135=6,G135&gt;145),(145*1)+((G135-145)*0.85),TRUE(),G135)</f>
        <v>103.66</v>
      </c>
      <c r="AA135" s="326">
        <v>0.04</v>
      </c>
      <c r="AC135" s="256" t="s">
        <v>120</v>
      </c>
      <c r="AD135" s="66">
        <v>83</v>
      </c>
      <c r="AE135" s="257" t="s">
        <v>67</v>
      </c>
    </row>
    <row r="136" spans="1:31" ht="15.75" customHeight="1" x14ac:dyDescent="0.3">
      <c r="A136" s="257" t="s">
        <v>67</v>
      </c>
      <c r="B136" s="66">
        <v>130</v>
      </c>
      <c r="C136" s="66">
        <v>84</v>
      </c>
      <c r="D136" s="67" t="s">
        <v>77</v>
      </c>
      <c r="E136" s="67">
        <v>21</v>
      </c>
      <c r="F136" s="67">
        <v>3</v>
      </c>
      <c r="G136" s="259">
        <v>81.349999999999994</v>
      </c>
      <c r="H136" s="259">
        <v>12</v>
      </c>
      <c r="I136" s="260">
        <v>6.72</v>
      </c>
      <c r="J136" s="323">
        <v>1</v>
      </c>
      <c r="K136" s="68"/>
      <c r="L136" s="67" t="s">
        <v>47</v>
      </c>
      <c r="M136" s="68"/>
      <c r="N136" s="68"/>
      <c r="O136" s="68"/>
      <c r="P136" s="68"/>
      <c r="Q136" s="68"/>
      <c r="R136" s="78" t="s">
        <v>69</v>
      </c>
      <c r="S136" s="324">
        <v>84</v>
      </c>
      <c r="T136" s="72">
        <f t="shared" si="52"/>
        <v>12</v>
      </c>
      <c r="U136" s="72">
        <f t="shared" si="53"/>
        <v>0</v>
      </c>
      <c r="V136" s="73">
        <f t="shared" si="54"/>
        <v>0</v>
      </c>
      <c r="W136" s="73">
        <f t="shared" si="55"/>
        <v>0</v>
      </c>
      <c r="X136" s="68">
        <f t="shared" si="56"/>
        <v>0</v>
      </c>
      <c r="Y136" s="74">
        <f t="shared" si="57"/>
        <v>0</v>
      </c>
      <c r="Z136" s="62">
        <f t="array" ref="Z136">_xlfn.IFS(AND(F136=3,G136&gt;90),(90*1)+((G136-90)*0.85),AND(F136=3.5,G136&gt;100),(100*1)+((G136-100)*0.85),AND(F136=4,G136&gt;110),(110*1)+((G136-110)*0.85),AND(F136=4.5,G136&gt;120),(120*1)+((G136-120)*0.85),AND(F136=5,G136&gt;125),(125*1)+((G136-125)*0.85),AND(F136=5.5,G136&gt;135),(135*1)+((G136-135)*0.85),AND(F136=6,G136&gt;145),(145*1)+((G136-145)*0.85),TRUE(),G136)</f>
        <v>81.349999999999994</v>
      </c>
      <c r="AA136" s="326">
        <v>0.04</v>
      </c>
      <c r="AC136" s="256" t="s">
        <v>121</v>
      </c>
      <c r="AD136" s="66">
        <v>84</v>
      </c>
      <c r="AE136" s="257" t="s">
        <v>67</v>
      </c>
    </row>
    <row r="137" spans="1:31" ht="15.6" x14ac:dyDescent="0.3">
      <c r="A137" s="257" t="s">
        <v>67</v>
      </c>
      <c r="B137" s="66">
        <v>130</v>
      </c>
      <c r="C137" s="66">
        <v>85</v>
      </c>
      <c r="D137" s="67" t="s">
        <v>78</v>
      </c>
      <c r="E137" s="67">
        <v>22</v>
      </c>
      <c r="F137" s="67">
        <v>5</v>
      </c>
      <c r="G137" s="259">
        <v>125.32</v>
      </c>
      <c r="H137" s="259">
        <v>15</v>
      </c>
      <c r="I137" s="260">
        <v>6.28</v>
      </c>
      <c r="J137" s="323">
        <v>2</v>
      </c>
      <c r="K137" s="68"/>
      <c r="L137" s="67" t="s">
        <v>47</v>
      </c>
      <c r="M137" s="68"/>
      <c r="N137" s="68"/>
      <c r="O137" s="68"/>
      <c r="P137" s="68"/>
      <c r="Q137" s="68"/>
      <c r="R137" s="78" t="s">
        <v>69</v>
      </c>
      <c r="S137" s="324">
        <v>85</v>
      </c>
      <c r="T137" s="72">
        <f t="shared" si="52"/>
        <v>15</v>
      </c>
      <c r="U137" s="72">
        <f t="shared" si="53"/>
        <v>0</v>
      </c>
      <c r="V137" s="73">
        <f t="shared" si="54"/>
        <v>0</v>
      </c>
      <c r="W137" s="73">
        <f t="shared" si="55"/>
        <v>0</v>
      </c>
      <c r="X137" s="68">
        <f t="shared" si="56"/>
        <v>0</v>
      </c>
      <c r="Y137" s="74">
        <f t="shared" si="57"/>
        <v>0</v>
      </c>
      <c r="Z137" s="62">
        <f t="array" ref="Z137">_xlfn.IFS(AND(F137=3,G137&gt;90),(90*1)+((G137-90)*0.85),AND(F137=3.5,G137&gt;100),(100*1)+((G137-100)*0.85),AND(F137=4,G137&gt;110),(110*1)+((G137-110)*0.85),AND(F137=4.5,G137&gt;120),(120*1)+((G137-120)*0.85),AND(F137=5,G137&gt;125),(125*1)+((G137-125)*0.85),AND(F137=5.5,G137&gt;135),(135*1)+((G137-135)*0.85),AND(F137=6,G137&gt;145),(145*1)+((G137-145)*0.85),TRUE(),G137)</f>
        <v>125.27199999999999</v>
      </c>
      <c r="AA137" s="326">
        <v>4.4999999999999998E-2</v>
      </c>
      <c r="AC137" s="256" t="s">
        <v>119</v>
      </c>
      <c r="AD137" s="66">
        <v>85</v>
      </c>
      <c r="AE137" s="257" t="s">
        <v>67</v>
      </c>
    </row>
    <row r="138" spans="1:31" ht="15.6" x14ac:dyDescent="0.3">
      <c r="A138" s="257" t="s">
        <v>67</v>
      </c>
      <c r="B138" s="66">
        <v>130</v>
      </c>
      <c r="C138" s="66">
        <v>86</v>
      </c>
      <c r="D138" s="67" t="s">
        <v>123</v>
      </c>
      <c r="E138" s="67">
        <v>22</v>
      </c>
      <c r="F138" s="67">
        <v>4</v>
      </c>
      <c r="G138" s="259">
        <v>113.37</v>
      </c>
      <c r="H138" s="259">
        <v>14.77</v>
      </c>
      <c r="I138" s="260">
        <v>6.27</v>
      </c>
      <c r="J138" s="323">
        <v>1</v>
      </c>
      <c r="K138" s="68"/>
      <c r="L138" s="67" t="s">
        <v>47</v>
      </c>
      <c r="M138" s="68"/>
      <c r="N138" s="68"/>
      <c r="O138" s="68"/>
      <c r="P138" s="68"/>
      <c r="Q138" s="68"/>
      <c r="R138" s="78" t="s">
        <v>69</v>
      </c>
      <c r="S138" s="324">
        <v>86</v>
      </c>
      <c r="T138" s="72">
        <f t="shared" si="52"/>
        <v>14.77</v>
      </c>
      <c r="U138" s="72">
        <f t="shared" si="53"/>
        <v>0</v>
      </c>
      <c r="V138" s="73">
        <f t="shared" si="54"/>
        <v>0</v>
      </c>
      <c r="W138" s="73">
        <f t="shared" si="55"/>
        <v>0</v>
      </c>
      <c r="X138" s="68">
        <f t="shared" si="56"/>
        <v>0</v>
      </c>
      <c r="Y138" s="74">
        <f t="shared" si="57"/>
        <v>0</v>
      </c>
      <c r="Z138" s="62">
        <f t="array" ref="Z138">_xlfn.IFS(AND(F138=3,G138&gt;90),(90*1)+((G138-90)*0.85),AND(F138=3.5,G138&gt;100),(100*1)+((G138-100)*0.85),AND(F138=4,G138&gt;110),(110*1)+((G138-110)*0.85),AND(F138=4.5,G138&gt;120),(120*1)+((G138-120)*0.85),AND(F138=5,G138&gt;125),(125*1)+((G138-125)*0.85),AND(F138=5.5,G138&gt;135),(135*1)+((G138-135)*0.85),AND(F138=6,G138&gt;145),(145*1)+((G138-145)*0.85),TRUE(),G138)</f>
        <v>112.86450000000001</v>
      </c>
      <c r="AA138" s="326">
        <v>4.4999999999999998E-2</v>
      </c>
      <c r="AC138" s="256" t="s">
        <v>101</v>
      </c>
      <c r="AD138" s="66">
        <v>86</v>
      </c>
      <c r="AE138" s="257" t="s">
        <v>67</v>
      </c>
    </row>
    <row r="139" spans="1:31" s="322" customFormat="1" ht="14.25" customHeight="1" x14ac:dyDescent="0.35">
      <c r="A139" s="257" t="s">
        <v>67</v>
      </c>
      <c r="B139" s="66">
        <v>130</v>
      </c>
      <c r="C139" s="66">
        <v>87</v>
      </c>
      <c r="D139" s="79" t="s">
        <v>80</v>
      </c>
      <c r="E139" s="79">
        <v>22</v>
      </c>
      <c r="F139" s="67">
        <v>4</v>
      </c>
      <c r="G139" s="267">
        <v>103.66</v>
      </c>
      <c r="H139" s="267">
        <v>14.97</v>
      </c>
      <c r="I139" s="295">
        <v>6.72</v>
      </c>
      <c r="J139" s="323">
        <v>2</v>
      </c>
      <c r="K139" s="68">
        <f>(SUMPRODUCT(H139:J139,$H$9:$J$9)+$G$9*Z139+SUMPRODUCT(T139:W139,$T$9:$W$9))*$I$5</f>
        <v>1986170.3631399998</v>
      </c>
      <c r="L139" s="67" t="s">
        <v>54</v>
      </c>
      <c r="M139" s="68">
        <f t="shared" si="58"/>
        <v>2075548.0294812997</v>
      </c>
      <c r="N139" s="68">
        <f t="shared" si="59"/>
        <v>1775548.0294812997</v>
      </c>
      <c r="O139" s="68">
        <f t="shared" si="60"/>
        <v>2146116.6624836638</v>
      </c>
      <c r="P139" s="68">
        <f t="shared" si="61"/>
        <v>370568.63300236408</v>
      </c>
      <c r="Q139" s="68">
        <f t="shared" si="62"/>
        <v>1775548.0294812997</v>
      </c>
      <c r="R139" s="78" t="s">
        <v>69</v>
      </c>
      <c r="S139" s="324">
        <v>87</v>
      </c>
      <c r="T139" s="72">
        <f t="shared" si="52"/>
        <v>14.97</v>
      </c>
      <c r="U139" s="72">
        <f t="shared" si="53"/>
        <v>0</v>
      </c>
      <c r="V139" s="73">
        <f t="shared" si="54"/>
        <v>0</v>
      </c>
      <c r="W139" s="73">
        <f t="shared" si="55"/>
        <v>0</v>
      </c>
      <c r="X139" s="68">
        <f t="shared" si="56"/>
        <v>397234.07262799999</v>
      </c>
      <c r="Y139" s="74">
        <f t="shared" si="57"/>
        <v>300000</v>
      </c>
      <c r="Z139" s="62">
        <f t="array" ref="Z139">_xlfn.IFS(AND(F139=3,G139&gt;90),(90*1)+((G139-90)*0.85),AND(F139=3.5,G139&gt;100),(100*1)+((G139-100)*0.85),AND(F139=4,G139&gt;110),(110*1)+((G139-110)*0.85),AND(F139=4.5,G139&gt;120),(120*1)+((G139-120)*0.85),AND(F139=5,G139&gt;125),(125*1)+((G139-125)*0.85),AND(F139=5.5,G139&gt;135),(135*1)+((G139-135)*0.85),AND(F139=6,G139&gt;145),(145*1)+((G139-145)*0.85),TRUE(),G139)</f>
        <v>103.66</v>
      </c>
      <c r="AA139" s="326">
        <v>4.4999999999999998E-2</v>
      </c>
      <c r="AB139"/>
      <c r="AC139" s="256" t="s">
        <v>120</v>
      </c>
      <c r="AD139" s="66">
        <v>87</v>
      </c>
      <c r="AE139" s="257" t="s">
        <v>67</v>
      </c>
    </row>
    <row r="140" spans="1:31" ht="14.25" customHeight="1" x14ac:dyDescent="0.3">
      <c r="A140" s="257" t="s">
        <v>67</v>
      </c>
      <c r="B140" s="66">
        <v>130</v>
      </c>
      <c r="C140" s="66">
        <v>88</v>
      </c>
      <c r="D140" s="67" t="s">
        <v>82</v>
      </c>
      <c r="E140" s="67">
        <v>22</v>
      </c>
      <c r="F140" s="67">
        <v>3</v>
      </c>
      <c r="G140" s="259">
        <v>81.349999999999994</v>
      </c>
      <c r="H140" s="259">
        <v>12</v>
      </c>
      <c r="I140" s="260">
        <v>6.72</v>
      </c>
      <c r="J140" s="323">
        <v>1</v>
      </c>
      <c r="K140" s="68"/>
      <c r="L140" s="67" t="s">
        <v>47</v>
      </c>
      <c r="M140" s="68"/>
      <c r="N140" s="68"/>
      <c r="O140" s="68"/>
      <c r="P140" s="68"/>
      <c r="Q140" s="68"/>
      <c r="R140" s="78" t="s">
        <v>69</v>
      </c>
      <c r="S140" s="324">
        <v>88</v>
      </c>
      <c r="T140" s="72">
        <f t="shared" si="52"/>
        <v>12</v>
      </c>
      <c r="U140" s="72">
        <f t="shared" si="53"/>
        <v>0</v>
      </c>
      <c r="V140" s="73">
        <f t="shared" si="54"/>
        <v>0</v>
      </c>
      <c r="W140" s="73">
        <f t="shared" si="55"/>
        <v>0</v>
      </c>
      <c r="X140" s="68">
        <f t="shared" si="56"/>
        <v>0</v>
      </c>
      <c r="Y140" s="74">
        <f t="shared" si="57"/>
        <v>0</v>
      </c>
      <c r="Z140" s="62">
        <f t="array" ref="Z140">_xlfn.IFS(AND(F140=3,G140&gt;90),(90*1)+((G140-90)*0.85),AND(F140=3.5,G140&gt;100),(100*1)+((G140-100)*0.85),AND(F140=4,G140&gt;110),(110*1)+((G140-110)*0.85),AND(F140=4.5,G140&gt;120),(120*1)+((G140-120)*0.85),AND(F140=5,G140&gt;125),(125*1)+((G140-125)*0.85),AND(F140=5.5,G140&gt;135),(135*1)+((G140-135)*0.85),AND(F140=6,G140&gt;145),(145*1)+((G140-145)*0.85),TRUE(),G140)</f>
        <v>81.349999999999994</v>
      </c>
      <c r="AA140" s="326">
        <v>4.4999999999999998E-2</v>
      </c>
      <c r="AC140" s="256" t="s">
        <v>121</v>
      </c>
      <c r="AD140" s="66">
        <v>88</v>
      </c>
      <c r="AE140" s="257" t="s">
        <v>67</v>
      </c>
    </row>
    <row r="141" spans="1:31" ht="15.6" x14ac:dyDescent="0.3">
      <c r="A141" s="257" t="s">
        <v>67</v>
      </c>
      <c r="B141" s="66">
        <v>130</v>
      </c>
      <c r="C141" s="66">
        <v>89</v>
      </c>
      <c r="D141" s="67" t="s">
        <v>83</v>
      </c>
      <c r="E141" s="67">
        <v>23</v>
      </c>
      <c r="F141" s="67">
        <v>6</v>
      </c>
      <c r="G141" s="259">
        <v>170.36</v>
      </c>
      <c r="H141" s="259">
        <v>105.1</v>
      </c>
      <c r="I141" s="260">
        <v>10.210000000000001</v>
      </c>
      <c r="J141" s="323">
        <v>2</v>
      </c>
      <c r="K141" s="68"/>
      <c r="L141" s="67" t="s">
        <v>47</v>
      </c>
      <c r="M141" s="68"/>
      <c r="N141" s="68"/>
      <c r="O141" s="68"/>
      <c r="P141" s="68"/>
      <c r="Q141" s="68"/>
      <c r="R141" s="78" t="s">
        <v>69</v>
      </c>
      <c r="S141" s="324">
        <v>89</v>
      </c>
      <c r="T141" s="72">
        <f t="shared" si="52"/>
        <v>30</v>
      </c>
      <c r="U141" s="72">
        <f t="shared" si="53"/>
        <v>30</v>
      </c>
      <c r="V141" s="73">
        <f t="shared" si="54"/>
        <v>45.099999999999994</v>
      </c>
      <c r="W141" s="73">
        <f t="shared" si="55"/>
        <v>0</v>
      </c>
      <c r="X141" s="68">
        <f t="shared" si="56"/>
        <v>0</v>
      </c>
      <c r="Y141" s="74">
        <f t="shared" si="57"/>
        <v>0</v>
      </c>
      <c r="Z141" s="62">
        <f t="array" ref="Z141">_xlfn.IFS(AND(F141=3,G141&gt;90),(90*1)+((G141-90)*0.85),AND(F141=3.5,G141&gt;100),(100*1)+((G141-100)*0.85),AND(F141=4,G141&gt;110),(110*1)+((G141-110)*0.85),AND(F141=4.5,G141&gt;120),(120*1)+((G141-120)*0.85),AND(F141=5,G141&gt;125),(125*1)+((G141-125)*0.85),AND(F141=5.5,G141&gt;135),(135*1)+((G141-135)*0.85),AND(F141=6,G141&gt;145),(145*1)+((G141-145)*0.85),TRUE(),G141)</f>
        <v>166.55600000000001</v>
      </c>
      <c r="AA141" s="326">
        <v>0.05</v>
      </c>
      <c r="AC141" s="256" t="s">
        <v>119</v>
      </c>
      <c r="AD141" s="66">
        <v>89</v>
      </c>
      <c r="AE141" s="257" t="s">
        <v>67</v>
      </c>
    </row>
    <row r="142" spans="1:31" ht="15.6" x14ac:dyDescent="0.3">
      <c r="A142" s="257" t="s">
        <v>67</v>
      </c>
      <c r="B142" s="66">
        <v>130</v>
      </c>
      <c r="C142" s="66">
        <v>90</v>
      </c>
      <c r="D142" s="67" t="s">
        <v>84</v>
      </c>
      <c r="E142" s="67">
        <v>23</v>
      </c>
      <c r="F142" s="67">
        <v>5.5</v>
      </c>
      <c r="G142" s="259">
        <v>171.56</v>
      </c>
      <c r="H142" s="259">
        <v>66.39</v>
      </c>
      <c r="I142" s="260">
        <v>12.06</v>
      </c>
      <c r="J142" s="323">
        <v>2</v>
      </c>
      <c r="K142" s="68"/>
      <c r="L142" s="67" t="s">
        <v>47</v>
      </c>
      <c r="M142" s="68"/>
      <c r="N142" s="68"/>
      <c r="O142" s="68"/>
      <c r="P142" s="68"/>
      <c r="Q142" s="68"/>
      <c r="R142" s="78" t="s">
        <v>85</v>
      </c>
      <c r="S142" s="324">
        <v>41</v>
      </c>
      <c r="T142" s="72">
        <f t="shared" si="52"/>
        <v>30</v>
      </c>
      <c r="U142" s="72">
        <f t="shared" si="53"/>
        <v>30</v>
      </c>
      <c r="V142" s="73">
        <f t="shared" si="54"/>
        <v>6.3900000000000006</v>
      </c>
      <c r="W142" s="73">
        <f t="shared" si="55"/>
        <v>0</v>
      </c>
      <c r="X142" s="68">
        <f t="shared" si="56"/>
        <v>0</v>
      </c>
      <c r="Y142" s="74">
        <f t="shared" si="57"/>
        <v>0</v>
      </c>
      <c r="Z142" s="62">
        <f t="array" ref="Z142">_xlfn.IFS(AND(F142=3,G142&gt;90),(90*1)+((G142-90)*0.85),AND(F142=3.5,G142&gt;100),(100*1)+((G142-100)*0.85),AND(F142=4,G142&gt;110),(110*1)+((G142-110)*0.85),AND(F142=4.5,G142&gt;120),(120*1)+((G142-120)*0.85),AND(F142=5,G142&gt;125),(125*1)+((G142-125)*0.85),AND(F142=5.5,G142&gt;135),(135*1)+((G142-135)*0.85),AND(F142=6,G142&gt;145),(145*1)+((G142-145)*0.85),TRUE(),G142)</f>
        <v>166.07599999999999</v>
      </c>
      <c r="AA142" s="326">
        <v>0.05</v>
      </c>
      <c r="AC142" s="256" t="s">
        <v>101</v>
      </c>
      <c r="AD142" s="66">
        <v>90</v>
      </c>
      <c r="AE142" s="257" t="s">
        <v>67</v>
      </c>
    </row>
    <row r="143" spans="1:31" ht="15.6" x14ac:dyDescent="0.3">
      <c r="A143" s="257" t="s">
        <v>67</v>
      </c>
      <c r="B143" s="66">
        <v>130</v>
      </c>
      <c r="C143" s="66">
        <v>91</v>
      </c>
      <c r="D143" s="67" t="s">
        <v>86</v>
      </c>
      <c r="E143" s="67">
        <v>24</v>
      </c>
      <c r="F143" s="67">
        <v>5</v>
      </c>
      <c r="G143" s="259">
        <v>143.11000000000001</v>
      </c>
      <c r="H143" s="259">
        <v>44.07</v>
      </c>
      <c r="I143" s="260">
        <v>11.17</v>
      </c>
      <c r="J143" s="323">
        <v>2</v>
      </c>
      <c r="K143" s="68"/>
      <c r="L143" s="67" t="s">
        <v>47</v>
      </c>
      <c r="M143" s="68"/>
      <c r="N143" s="68"/>
      <c r="O143" s="68"/>
      <c r="P143" s="68"/>
      <c r="Q143" s="68"/>
      <c r="R143" s="78" t="s">
        <v>85</v>
      </c>
      <c r="S143" s="324">
        <v>42</v>
      </c>
      <c r="T143" s="72">
        <f t="shared" si="52"/>
        <v>30</v>
      </c>
      <c r="U143" s="72">
        <f t="shared" si="53"/>
        <v>14.07</v>
      </c>
      <c r="V143" s="73">
        <f t="shared" si="54"/>
        <v>0</v>
      </c>
      <c r="W143" s="73">
        <f t="shared" si="55"/>
        <v>0</v>
      </c>
      <c r="X143" s="68">
        <f t="shared" si="56"/>
        <v>0</v>
      </c>
      <c r="Y143" s="74">
        <f t="shared" si="57"/>
        <v>0</v>
      </c>
      <c r="Z143" s="62">
        <f t="array" ref="Z143">_xlfn.IFS(AND(F143=3,G143&gt;90),(90*1)+((G143-90)*0.85),AND(F143=3.5,G143&gt;100),(100*1)+((G143-100)*0.85),AND(F143=4,G143&gt;110),(110*1)+((G143-110)*0.85),AND(F143=4.5,G143&gt;120),(120*1)+((G143-120)*0.85),AND(F143=5,G143&gt;125),(125*1)+((G143-125)*0.85),AND(F143=5.5,G143&gt;135),(135*1)+((G143-135)*0.85),AND(F143=6,G143&gt;145),(145*1)+((G143-145)*0.85),TRUE(),G143)</f>
        <v>140.39350000000002</v>
      </c>
      <c r="AA143" s="326">
        <v>0.05</v>
      </c>
      <c r="AC143" s="256" t="s">
        <v>120</v>
      </c>
      <c r="AD143" s="66">
        <v>91</v>
      </c>
      <c r="AE143" s="257" t="s">
        <v>67</v>
      </c>
    </row>
    <row r="144" spans="1:31" ht="14.25" customHeight="1" x14ac:dyDescent="0.3">
      <c r="A144" s="257" t="s">
        <v>67</v>
      </c>
      <c r="B144" s="66">
        <v>130</v>
      </c>
      <c r="C144" s="66">
        <v>92</v>
      </c>
      <c r="D144" s="67" t="s">
        <v>87</v>
      </c>
      <c r="E144" s="67">
        <v>24</v>
      </c>
      <c r="F144" s="67">
        <v>6</v>
      </c>
      <c r="G144" s="259">
        <v>145.33000000000001</v>
      </c>
      <c r="H144" s="259">
        <v>33.94</v>
      </c>
      <c r="I144" s="260">
        <v>12.12</v>
      </c>
      <c r="J144" s="323">
        <v>2</v>
      </c>
      <c r="K144" s="68"/>
      <c r="L144" s="67" t="s">
        <v>47</v>
      </c>
      <c r="M144" s="68"/>
      <c r="N144" s="68"/>
      <c r="O144" s="68"/>
      <c r="P144" s="68"/>
      <c r="Q144" s="68"/>
      <c r="R144" s="78" t="s">
        <v>85</v>
      </c>
      <c r="S144" s="324">
        <v>43</v>
      </c>
      <c r="T144" s="72">
        <f t="shared" si="52"/>
        <v>30</v>
      </c>
      <c r="U144" s="72">
        <f t="shared" si="53"/>
        <v>3.9399999999999977</v>
      </c>
      <c r="V144" s="73">
        <f t="shared" si="54"/>
        <v>0</v>
      </c>
      <c r="W144" s="73">
        <f t="shared" si="55"/>
        <v>0</v>
      </c>
      <c r="X144" s="68">
        <f t="shared" si="56"/>
        <v>0</v>
      </c>
      <c r="Y144" s="74">
        <f t="shared" si="57"/>
        <v>0</v>
      </c>
      <c r="Z144" s="62">
        <f t="array" ref="Z144">_xlfn.IFS(AND(F144=3,G144&gt;90),(90*1)+((G144-90)*0.85),AND(F144=3.5,G144&gt;100),(100*1)+((G144-100)*0.85),AND(F144=4,G144&gt;110),(110*1)+((G144-110)*0.85),AND(F144=4.5,G144&gt;120),(120*1)+((G144-120)*0.85),AND(F144=5,G144&gt;125),(125*1)+((G144-125)*0.85),AND(F144=5.5,G144&gt;135),(135*1)+((G144-135)*0.85),AND(F144=6,G144&gt;145),(145*1)+((G144-145)*0.85),TRUE(),G144)</f>
        <v>145.28050000000002</v>
      </c>
      <c r="AA144" s="326">
        <v>0.05</v>
      </c>
      <c r="AC144" s="256" t="s">
        <v>121</v>
      </c>
      <c r="AD144" s="66">
        <v>92</v>
      </c>
      <c r="AE144" s="257" t="s">
        <v>67</v>
      </c>
    </row>
    <row r="145" spans="1:31" ht="15.75" customHeight="1" thickBot="1" x14ac:dyDescent="0.35">
      <c r="A145" s="270" t="s">
        <v>67</v>
      </c>
      <c r="B145" s="119">
        <v>130</v>
      </c>
      <c r="C145" s="119">
        <v>93</v>
      </c>
      <c r="D145" s="327" t="s">
        <v>88</v>
      </c>
      <c r="E145" s="327">
        <v>25</v>
      </c>
      <c r="F145" s="327">
        <v>6</v>
      </c>
      <c r="G145" s="272">
        <v>173.5</v>
      </c>
      <c r="H145" s="272">
        <v>110.28</v>
      </c>
      <c r="I145" s="306">
        <v>9.75</v>
      </c>
      <c r="J145" s="328">
        <v>2</v>
      </c>
      <c r="K145" s="68"/>
      <c r="L145" s="67" t="s">
        <v>47</v>
      </c>
      <c r="M145" s="122"/>
      <c r="N145" s="122"/>
      <c r="O145" s="122"/>
      <c r="P145" s="122"/>
      <c r="Q145" s="122"/>
      <c r="R145" s="329" t="s">
        <v>69</v>
      </c>
      <c r="S145" s="330">
        <v>93</v>
      </c>
      <c r="T145" s="125">
        <f t="shared" si="52"/>
        <v>30</v>
      </c>
      <c r="U145" s="125">
        <f t="shared" si="53"/>
        <v>30</v>
      </c>
      <c r="V145" s="126">
        <f t="shared" si="54"/>
        <v>50.28</v>
      </c>
      <c r="W145" s="126">
        <f t="shared" si="55"/>
        <v>0</v>
      </c>
      <c r="X145" s="122">
        <f t="shared" si="56"/>
        <v>0</v>
      </c>
      <c r="Y145" s="127">
        <f t="shared" si="57"/>
        <v>0</v>
      </c>
      <c r="Z145" s="62">
        <f t="array" ref="Z145">_xlfn.IFS(AND(F145=3,G145&gt;90),(90*1)+((G145-90)*0.85),AND(F145=3.5,G145&gt;100),(100*1)+((G145-100)*0.85),AND(F145=4,G145&gt;110),(110*1)+((G145-110)*0.85),AND(F145=4.5,G145&gt;120),(120*1)+((G145-120)*0.85),AND(F145=5,G145&gt;125),(125*1)+((G145-125)*0.85),AND(F145=5.5,G145&gt;135),(135*1)+((G145-135)*0.85),AND(F145=6,G145&gt;145),(145*1)+((G145-145)*0.85),TRUE(),G145)</f>
        <v>169.22499999999999</v>
      </c>
      <c r="AA145" s="326">
        <v>0</v>
      </c>
      <c r="AC145" s="256" t="s">
        <v>121</v>
      </c>
      <c r="AD145" s="119">
        <v>93</v>
      </c>
      <c r="AE145" s="270" t="s">
        <v>67</v>
      </c>
    </row>
    <row r="146" spans="1:31" ht="16.2" thickBot="1" x14ac:dyDescent="0.4">
      <c r="A146" s="331" t="s">
        <v>92</v>
      </c>
      <c r="B146" s="310"/>
      <c r="C146" s="310"/>
      <c r="D146" s="310"/>
      <c r="E146" s="310"/>
      <c r="F146" s="332"/>
      <c r="G146" s="333">
        <f>SUM(G53:G145)/93</f>
        <v>108.45010752688165</v>
      </c>
      <c r="H146" s="334"/>
      <c r="I146" s="335" t="s">
        <v>93</v>
      </c>
      <c r="J146" s="336"/>
      <c r="K146" s="337"/>
      <c r="L146" s="314">
        <f>COUNTIF(L53:L145,"כן")/COUNT(C53:C145)</f>
        <v>0.5053763440860215</v>
      </c>
      <c r="M146" s="171"/>
      <c r="N146" s="171"/>
      <c r="O146" s="171"/>
      <c r="P146" s="171"/>
      <c r="Q146" s="171"/>
      <c r="R146" s="173"/>
      <c r="S146" s="338"/>
      <c r="U146" s="184"/>
      <c r="AD146" s="310"/>
      <c r="AE146" s="331" t="s">
        <v>92</v>
      </c>
    </row>
    <row r="147" spans="1:31" ht="16.2" hidden="1" thickBot="1" x14ac:dyDescent="0.4">
      <c r="A147" s="339" t="s">
        <v>89</v>
      </c>
      <c r="B147" s="340"/>
      <c r="C147" s="340"/>
      <c r="D147" s="340"/>
      <c r="E147" s="340"/>
      <c r="F147" s="341"/>
      <c r="G147" s="342">
        <f>SUMIF(L11:L145,"כן",G11:G145)</f>
        <v>6800.7099999999928</v>
      </c>
      <c r="H147" s="343"/>
      <c r="I147" s="344" t="s">
        <v>90</v>
      </c>
      <c r="J147" s="345"/>
      <c r="K147" s="346"/>
      <c r="L147" s="347">
        <f>COUNTIF(L11:L145,"כן")</f>
        <v>67</v>
      </c>
      <c r="M147" s="348"/>
      <c r="N147" s="348"/>
      <c r="O147" s="348"/>
      <c r="P147" s="349" t="s">
        <v>91</v>
      </c>
      <c r="Q147" s="349">
        <f>SUMIF(L11:L145,"כן",Q11:Q145)</f>
        <v>107070744.81139302</v>
      </c>
      <c r="R147" s="350"/>
      <c r="S147" s="351"/>
      <c r="U147" s="184"/>
      <c r="V147" s="184"/>
      <c r="AD147" s="340"/>
      <c r="AE147" s="339" t="s">
        <v>89</v>
      </c>
    </row>
    <row r="148" spans="1:31" ht="16.2" hidden="1" thickBot="1" x14ac:dyDescent="0.4">
      <c r="A148" s="185" t="s">
        <v>94</v>
      </c>
      <c r="B148" s="186"/>
      <c r="C148" s="186"/>
      <c r="D148" s="186"/>
      <c r="E148" s="186"/>
      <c r="F148" s="187"/>
      <c r="G148" s="352">
        <f>SUM(G11:G30,G32:G51,G53:G145)/133</f>
        <v>107.90075187969921</v>
      </c>
      <c r="H148" s="353"/>
      <c r="I148" s="354" t="s">
        <v>95</v>
      </c>
      <c r="J148" s="355"/>
      <c r="K148" s="192"/>
      <c r="L148" s="193">
        <f>COUNTIF(L11:L145,"כן")/COUNT(C11:C145)</f>
        <v>0.50375939849624063</v>
      </c>
      <c r="M148" s="194"/>
      <c r="N148" s="194"/>
      <c r="O148" s="194"/>
      <c r="P148" s="195" t="s">
        <v>96</v>
      </c>
      <c r="Q148" s="195">
        <f>SUMIF(L11:L145,"לא",Q11:Q145)</f>
        <v>0</v>
      </c>
      <c r="R148" s="197"/>
      <c r="S148" s="351"/>
      <c r="U148" s="184"/>
      <c r="V148" s="184"/>
      <c r="AD148" s="186"/>
      <c r="AE148" s="185" t="s">
        <v>94</v>
      </c>
    </row>
    <row r="149" spans="1:31" ht="15.6" hidden="1" x14ac:dyDescent="0.35">
      <c r="A149" s="199"/>
      <c r="B149" s="199"/>
      <c r="C149" s="199"/>
      <c r="D149" s="199"/>
      <c r="E149" s="199"/>
      <c r="F149" s="199"/>
      <c r="G149" s="356"/>
      <c r="H149" s="343"/>
      <c r="I149" s="357"/>
      <c r="J149" s="348"/>
      <c r="K149" s="202"/>
      <c r="L149" s="203"/>
      <c r="M149" s="203"/>
      <c r="N149" s="203"/>
      <c r="O149" s="203"/>
      <c r="P149" s="204" t="s">
        <v>97</v>
      </c>
      <c r="Q149" s="406">
        <f>SUM(Q147:Q148)</f>
        <v>107070744.81139302</v>
      </c>
      <c r="R149" s="206"/>
      <c r="S149" s="358"/>
      <c r="T149" s="207"/>
      <c r="AD149" s="199"/>
      <c r="AE149" s="199"/>
    </row>
    <row r="150" spans="1:31" ht="14.4" hidden="1" x14ac:dyDescent="0.3">
      <c r="A150" s="199"/>
      <c r="B150" s="199"/>
      <c r="C150" s="199"/>
      <c r="D150" s="199"/>
      <c r="E150" s="199"/>
      <c r="F150" s="199"/>
      <c r="G150" s="356"/>
      <c r="H150" s="343"/>
      <c r="I150" s="357"/>
      <c r="J150" s="348"/>
      <c r="K150" s="202"/>
      <c r="L150" s="208"/>
      <c r="M150" s="203"/>
      <c r="N150" s="203"/>
      <c r="O150" s="203"/>
      <c r="P150" s="203"/>
      <c r="Q150" s="203"/>
      <c r="R150" s="209"/>
      <c r="AD150" s="199"/>
      <c r="AE150" s="199"/>
    </row>
    <row r="151" spans="1:31" ht="15" hidden="1" customHeight="1" x14ac:dyDescent="0.3">
      <c r="A151" s="359" t="s">
        <v>124</v>
      </c>
      <c r="B151" s="210"/>
      <c r="C151" s="210"/>
      <c r="D151" s="210"/>
      <c r="E151" s="210"/>
      <c r="F151" s="210"/>
      <c r="G151" s="360"/>
      <c r="H151" s="360"/>
      <c r="I151" s="361"/>
      <c r="J151" s="211"/>
      <c r="K151" s="210"/>
      <c r="L151" s="347">
        <f>COUNTIF(L53:L145,"כן")</f>
        <v>47</v>
      </c>
      <c r="M151" s="211"/>
      <c r="N151" s="211"/>
      <c r="O151" s="211"/>
      <c r="P151" s="211"/>
      <c r="Q151" s="211"/>
      <c r="R151" s="211"/>
      <c r="S151" s="362"/>
      <c r="AD151" s="210"/>
      <c r="AE151" s="359" t="s">
        <v>124</v>
      </c>
    </row>
    <row r="152" spans="1:31" ht="15.6" hidden="1" x14ac:dyDescent="0.3">
      <c r="C152" s="211"/>
      <c r="D152" s="211"/>
      <c r="E152" s="213"/>
      <c r="F152" s="213"/>
      <c r="G152" s="363"/>
      <c r="H152" s="363"/>
      <c r="I152" s="364"/>
      <c r="J152" s="213"/>
      <c r="K152" s="213"/>
      <c r="L152" s="213"/>
      <c r="M152" s="213"/>
      <c r="N152" s="213"/>
      <c r="O152" s="213"/>
      <c r="P152" s="213"/>
      <c r="Q152" s="213"/>
      <c r="R152" s="214"/>
      <c r="S152" s="365"/>
      <c r="Z152" s="207"/>
      <c r="AD152" s="211"/>
    </row>
    <row r="153" spans="1:31" ht="185.1" hidden="1" customHeight="1" x14ac:dyDescent="0.3">
      <c r="A153" s="216" t="s">
        <v>99</v>
      </c>
      <c r="B153" s="216"/>
      <c r="C153" s="216"/>
      <c r="D153" s="216"/>
      <c r="E153" s="216"/>
      <c r="F153" s="216"/>
      <c r="G153" s="366"/>
      <c r="H153" s="366"/>
      <c r="I153" s="367"/>
      <c r="J153" s="368"/>
      <c r="K153" s="216"/>
      <c r="L153" s="216"/>
      <c r="M153" s="216"/>
      <c r="N153" s="216"/>
      <c r="O153" s="216"/>
      <c r="P153" s="216"/>
      <c r="Q153" s="216"/>
      <c r="R153" s="217"/>
      <c r="S153" s="369"/>
      <c r="AD153" s="216"/>
      <c r="AE153" s="216" t="s">
        <v>99</v>
      </c>
    </row>
    <row r="154" spans="1:31" ht="15" hidden="1" customHeight="1" x14ac:dyDescent="0.3">
      <c r="A154" s="219" t="s">
        <v>100</v>
      </c>
      <c r="B154" s="219"/>
      <c r="C154" s="219"/>
      <c r="D154" s="219"/>
      <c r="E154" s="219"/>
      <c r="F154" s="219"/>
      <c r="G154" s="370"/>
      <c r="H154" s="370"/>
      <c r="I154" s="371"/>
      <c r="J154" s="372"/>
      <c r="K154" s="219"/>
      <c r="L154" s="219"/>
      <c r="M154" s="219"/>
      <c r="N154" s="219"/>
      <c r="O154" s="219"/>
      <c r="P154" s="219"/>
      <c r="Q154" s="219"/>
      <c r="R154" s="220"/>
      <c r="S154" s="373"/>
      <c r="AD154" s="219"/>
      <c r="AE154" s="219" t="s">
        <v>100</v>
      </c>
    </row>
    <row r="155" spans="1:31" ht="14.4" hidden="1" x14ac:dyDescent="0.3"/>
    <row r="156" spans="1:31" ht="14.4" hidden="1" x14ac:dyDescent="0.3">
      <c r="M156" s="43">
        <f>M56*0.2</f>
        <v>290090.28283319989</v>
      </c>
      <c r="N156" s="184">
        <f>M56-M156</f>
        <v>1160361.1313327996</v>
      </c>
    </row>
    <row r="157" spans="1:31" ht="14.4" hidden="1" x14ac:dyDescent="0.3"/>
    <row r="158" spans="1:31" ht="14.4" hidden="1" x14ac:dyDescent="0.3">
      <c r="M158" s="184"/>
    </row>
    <row r="159" spans="1:31" ht="14.4" hidden="1" x14ac:dyDescent="0.3"/>
    <row r="160" spans="1:31" ht="14.4" hidden="1" x14ac:dyDescent="0.3"/>
    <row r="161" ht="14.4" hidden="1" x14ac:dyDescent="0.3"/>
    <row r="162" ht="14.4" hidden="1" x14ac:dyDescent="0.3"/>
    <row r="163" ht="14.4" hidden="1" x14ac:dyDescent="0.3"/>
    <row r="164" ht="14.4" hidden="1" x14ac:dyDescent="0.3"/>
    <row r="165" ht="14.4" hidden="1" x14ac:dyDescent="0.3"/>
    <row r="166" ht="14.4" hidden="1" x14ac:dyDescent="0.3"/>
    <row r="167" ht="14.4" hidden="1" x14ac:dyDescent="0.3"/>
    <row r="168" ht="14.4" x14ac:dyDescent="0.3"/>
    <row r="169" ht="14.4" x14ac:dyDescent="0.3"/>
    <row r="170" ht="14.4" x14ac:dyDescent="0.3"/>
    <row r="171" ht="14.4" x14ac:dyDescent="0.3"/>
    <row r="172" ht="14.4" x14ac:dyDescent="0.3"/>
    <row r="173" ht="14.4" x14ac:dyDescent="0.3"/>
    <row r="174" ht="14.4" x14ac:dyDescent="0.3"/>
    <row r="175" ht="14.4" x14ac:dyDescent="0.3"/>
    <row r="176" ht="14.4" x14ac:dyDescent="0.3"/>
    <row r="177" ht="14.4" x14ac:dyDescent="0.3"/>
    <row r="178" ht="14.4" x14ac:dyDescent="0.3"/>
    <row r="179" ht="14.4" x14ac:dyDescent="0.3"/>
    <row r="180" ht="14.4" x14ac:dyDescent="0.3"/>
    <row r="181" ht="14.4" x14ac:dyDescent="0.3"/>
    <row r="182" ht="14.4" x14ac:dyDescent="0.3"/>
    <row r="183" ht="14.4" x14ac:dyDescent="0.3"/>
    <row r="184" ht="14.4" x14ac:dyDescent="0.3"/>
    <row r="185" ht="14.4" x14ac:dyDescent="0.3"/>
    <row r="186" ht="14.4" x14ac:dyDescent="0.3"/>
    <row r="187" ht="14.4" x14ac:dyDescent="0.3"/>
    <row r="188" ht="14.4" x14ac:dyDescent="0.3"/>
    <row r="189" ht="14.4" x14ac:dyDescent="0.3"/>
    <row r="190" ht="14.4" x14ac:dyDescent="0.3"/>
    <row r="191" ht="14.4" x14ac:dyDescent="0.3"/>
    <row r="192" ht="14.4" x14ac:dyDescent="0.3"/>
    <row r="193" ht="14.4" x14ac:dyDescent="0.3"/>
    <row r="194" ht="14.4" x14ac:dyDescent="0.3"/>
    <row r="195" ht="14.4" x14ac:dyDescent="0.3"/>
    <row r="196" ht="14.4" x14ac:dyDescent="0.3"/>
    <row r="197" ht="14.4" x14ac:dyDescent="0.3"/>
    <row r="198" ht="14.4" x14ac:dyDescent="0.3"/>
    <row r="199" ht="14.4" x14ac:dyDescent="0.3"/>
    <row r="200" ht="14.4" x14ac:dyDescent="0.3"/>
    <row r="201" ht="14.4" x14ac:dyDescent="0.3"/>
    <row r="202" ht="14.4" x14ac:dyDescent="0.3"/>
    <row r="203" ht="14.4" x14ac:dyDescent="0.3"/>
    <row r="204" ht="14.4" x14ac:dyDescent="0.3"/>
    <row r="205" ht="14.4" x14ac:dyDescent="0.3"/>
    <row r="206" ht="14.4" x14ac:dyDescent="0.3"/>
    <row r="207" ht="14.4" x14ac:dyDescent="0.3"/>
    <row r="208" ht="14.4" x14ac:dyDescent="0.3"/>
    <row r="209" ht="14.4" x14ac:dyDescent="0.3"/>
    <row r="210" ht="14.4" x14ac:dyDescent="0.3"/>
    <row r="211" ht="14.4" x14ac:dyDescent="0.3"/>
    <row r="212" ht="14.4" x14ac:dyDescent="0.3"/>
    <row r="213" ht="14.4" x14ac:dyDescent="0.3"/>
    <row r="214" ht="14.4" x14ac:dyDescent="0.3"/>
    <row r="215" ht="14.4" x14ac:dyDescent="0.3"/>
    <row r="216" ht="14.4" x14ac:dyDescent="0.3"/>
    <row r="217" ht="14.4" x14ac:dyDescent="0.3"/>
    <row r="218" ht="14.4" x14ac:dyDescent="0.3"/>
    <row r="219" ht="14.4" x14ac:dyDescent="0.3"/>
    <row r="220" ht="14.4" x14ac:dyDescent="0.3"/>
    <row r="221" ht="14.4" x14ac:dyDescent="0.3"/>
    <row r="222" ht="14.4" x14ac:dyDescent="0.3"/>
    <row r="223" ht="14.4" x14ac:dyDescent="0.3"/>
    <row r="224" ht="14.4" x14ac:dyDescent="0.3"/>
    <row r="225" ht="14.4" x14ac:dyDescent="0.3"/>
    <row r="226" ht="14.4" x14ac:dyDescent="0.3"/>
    <row r="227" ht="14.4" x14ac:dyDescent="0.3"/>
    <row r="228" ht="14.4" x14ac:dyDescent="0.3"/>
    <row r="229" ht="14.4" x14ac:dyDescent="0.3"/>
    <row r="230" ht="14.4" x14ac:dyDescent="0.3"/>
    <row r="231" ht="14.4" x14ac:dyDescent="0.3"/>
    <row r="232" ht="14.4" x14ac:dyDescent="0.3"/>
    <row r="233" ht="14.4" x14ac:dyDescent="0.3"/>
    <row r="234" ht="14.4" x14ac:dyDescent="0.3"/>
    <row r="235" ht="14.4" x14ac:dyDescent="0.3"/>
    <row r="236" ht="14.4" x14ac:dyDescent="0.3"/>
    <row r="237" ht="14.4" x14ac:dyDescent="0.3"/>
    <row r="238" ht="14.4" x14ac:dyDescent="0.3"/>
    <row r="239" ht="14.4" x14ac:dyDescent="0.3"/>
    <row r="240" ht="14.4" x14ac:dyDescent="0.3"/>
    <row r="241" ht="14.4" x14ac:dyDescent="0.3"/>
    <row r="242" ht="14.4" x14ac:dyDescent="0.3"/>
    <row r="243" ht="14.4" x14ac:dyDescent="0.3"/>
    <row r="244" ht="14.4" x14ac:dyDescent="0.3"/>
    <row r="245" ht="14.4" x14ac:dyDescent="0.3"/>
    <row r="246" ht="14.4" x14ac:dyDescent="0.3"/>
    <row r="247" ht="14.4" x14ac:dyDescent="0.3"/>
    <row r="248" ht="14.4" x14ac:dyDescent="0.3"/>
    <row r="249" ht="14.4" x14ac:dyDescent="0.3"/>
    <row r="250" ht="14.4" x14ac:dyDescent="0.3"/>
    <row r="251" ht="14.4" x14ac:dyDescent="0.3"/>
    <row r="252" ht="14.4" x14ac:dyDescent="0.3"/>
    <row r="253" ht="14.4" x14ac:dyDescent="0.3"/>
    <row r="254" ht="14.4" x14ac:dyDescent="0.3"/>
    <row r="255" ht="14.4" x14ac:dyDescent="0.3"/>
    <row r="256" ht="14.4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</sheetData>
  <autoFilter ref="A10:R149" xr:uid="{00000000-0001-0000-0100-000000000000}"/>
  <mergeCells count="7">
    <mergeCell ref="F1:K1"/>
    <mergeCell ref="E2:K2"/>
    <mergeCell ref="AL2:AL3"/>
    <mergeCell ref="AL4:AL6"/>
    <mergeCell ref="B2:C2"/>
    <mergeCell ref="B3:C3"/>
    <mergeCell ref="B4:C4"/>
  </mergeCells>
  <conditionalFormatting sqref="G5:I5 L7:M7 S8 R9:R18 S10:S18 R19:S30 S146:S148 S151:S1048576">
    <cfRule type="containsText" dxfId="5" priority="4" operator="containsText" text="גדול">
      <formula>NOT(ISERROR(SEARCH("גדול",G5)))</formula>
    </cfRule>
    <cfRule type="containsText" dxfId="4" priority="5" operator="containsText" text="קטן מהמינימום הנדרש במכרז">
      <formula>NOT(ISERROR(SEARCH("קטן מהמינימום הנדרש במכרז",G5)))</formula>
    </cfRule>
  </conditionalFormatting>
  <conditionalFormatting sqref="R32:S45">
    <cfRule type="containsText" dxfId="3" priority="2" operator="containsText" text="גדול">
      <formula>NOT(ISERROR(SEARCH("גדול",R32)))</formula>
    </cfRule>
    <cfRule type="containsText" dxfId="2" priority="3" operator="containsText" text="קטן מהמינימום הנדרש במכרז">
      <formula>NOT(ISERROR(SEARCH("קטן מהמינימום הנדרש במכרז",R32)))</formula>
    </cfRule>
  </conditionalFormatting>
  <pageMargins left="0.23611111111111099" right="0.23611111111111099" top="0.15763888888888899" bottom="0.74791666666666701" header="0.511811023622047" footer="0.511811023622047"/>
  <pageSetup paperSize="9" scale="35" fitToHeight="0" orientation="portrait" horizontalDpi="300" verticalDpi="300" r:id="rId1"/>
  <rowBreaks count="1" manualBreakCount="1">
    <brk id="438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8"/>
  <sheetViews>
    <sheetView rightToLeft="1" zoomScale="115" zoomScaleNormal="115" workbookViewId="0"/>
  </sheetViews>
  <sheetFormatPr defaultColWidth="8.88671875" defaultRowHeight="14.25" customHeight="1" x14ac:dyDescent="0.3"/>
  <cols>
    <col min="1" max="1" width="17" style="38" customWidth="1"/>
    <col min="2" max="2" width="8.88671875" style="38"/>
    <col min="3" max="3" width="13.33203125" style="38" customWidth="1"/>
  </cols>
  <sheetData>
    <row r="1" spans="1:6" ht="14.4" x14ac:dyDescent="0.3">
      <c r="A1" s="402" t="s">
        <v>141</v>
      </c>
      <c r="B1" s="402" t="s">
        <v>142</v>
      </c>
      <c r="C1" s="402" t="s">
        <v>20</v>
      </c>
      <c r="D1" s="402" t="s">
        <v>26</v>
      </c>
      <c r="E1" s="402" t="s">
        <v>36</v>
      </c>
    </row>
    <row r="2" spans="1:6" ht="14.4" x14ac:dyDescent="0.3">
      <c r="A2" s="374" t="s">
        <v>144</v>
      </c>
      <c r="B2" s="38">
        <v>130</v>
      </c>
      <c r="C2" s="38">
        <v>10</v>
      </c>
      <c r="D2">
        <v>7.09</v>
      </c>
      <c r="E2">
        <v>1</v>
      </c>
      <c r="F2" t="s">
        <v>104</v>
      </c>
    </row>
    <row r="3" spans="1:6" ht="14.4" x14ac:dyDescent="0.3">
      <c r="A3" s="374" t="s">
        <v>144</v>
      </c>
      <c r="B3" s="38">
        <v>130</v>
      </c>
      <c r="C3" s="38">
        <v>4</v>
      </c>
      <c r="D3">
        <v>6.15</v>
      </c>
      <c r="E3">
        <v>2</v>
      </c>
      <c r="F3" t="s">
        <v>104</v>
      </c>
    </row>
    <row r="4" spans="1:6" ht="14.4" x14ac:dyDescent="0.3">
      <c r="A4" s="374" t="s">
        <v>144</v>
      </c>
      <c r="B4" s="38">
        <v>130</v>
      </c>
      <c r="C4" s="38">
        <v>7</v>
      </c>
      <c r="D4">
        <v>6.4</v>
      </c>
      <c r="E4">
        <v>3</v>
      </c>
      <c r="F4" t="s">
        <v>104</v>
      </c>
    </row>
    <row r="5" spans="1:6" ht="14.4" x14ac:dyDescent="0.3">
      <c r="A5" s="374" t="s">
        <v>144</v>
      </c>
      <c r="B5" s="38">
        <v>130</v>
      </c>
      <c r="C5" s="38">
        <v>8</v>
      </c>
      <c r="D5">
        <v>5.87</v>
      </c>
      <c r="E5">
        <v>5</v>
      </c>
      <c r="F5" t="s">
        <v>104</v>
      </c>
    </row>
    <row r="6" spans="1:6" ht="14.4" x14ac:dyDescent="0.3">
      <c r="A6" s="374" t="s">
        <v>144</v>
      </c>
      <c r="B6" s="38">
        <v>130</v>
      </c>
      <c r="C6" s="38">
        <v>9</v>
      </c>
      <c r="D6">
        <v>5.87</v>
      </c>
      <c r="E6">
        <v>6</v>
      </c>
      <c r="F6" t="s">
        <v>104</v>
      </c>
    </row>
    <row r="7" spans="1:6" ht="14.4" x14ac:dyDescent="0.3">
      <c r="A7" s="374" t="s">
        <v>144</v>
      </c>
      <c r="B7" s="38">
        <v>130</v>
      </c>
      <c r="C7" s="38">
        <v>6</v>
      </c>
      <c r="D7">
        <v>5.87</v>
      </c>
      <c r="E7">
        <v>7</v>
      </c>
      <c r="F7" t="s">
        <v>104</v>
      </c>
    </row>
    <row r="8" spans="1:6" ht="14.4" x14ac:dyDescent="0.3">
      <c r="A8" s="374" t="s">
        <v>144</v>
      </c>
      <c r="B8" s="38">
        <v>130</v>
      </c>
      <c r="C8" s="38">
        <v>19</v>
      </c>
      <c r="D8">
        <v>7.84</v>
      </c>
      <c r="E8">
        <v>9</v>
      </c>
      <c r="F8" t="s">
        <v>104</v>
      </c>
    </row>
    <row r="9" spans="1:6" ht="14.4" x14ac:dyDescent="0.3">
      <c r="A9" s="374" t="s">
        <v>143</v>
      </c>
      <c r="B9" s="38">
        <v>130</v>
      </c>
      <c r="C9" s="38">
        <v>4</v>
      </c>
      <c r="D9">
        <v>7.93</v>
      </c>
      <c r="E9">
        <v>10</v>
      </c>
      <c r="F9" t="s">
        <v>104</v>
      </c>
    </row>
    <row r="10" spans="1:6" ht="14.4" x14ac:dyDescent="0.3">
      <c r="A10" s="374" t="s">
        <v>144</v>
      </c>
      <c r="B10" s="38">
        <v>130</v>
      </c>
      <c r="C10" s="38">
        <v>5</v>
      </c>
      <c r="D10">
        <v>7.09</v>
      </c>
      <c r="E10">
        <v>11</v>
      </c>
      <c r="F10" t="s">
        <v>104</v>
      </c>
    </row>
    <row r="11" spans="1:6" ht="14.4" x14ac:dyDescent="0.3">
      <c r="A11" s="374" t="s">
        <v>143</v>
      </c>
      <c r="B11" s="38">
        <v>130</v>
      </c>
      <c r="C11" s="38">
        <v>6</v>
      </c>
      <c r="D11">
        <v>5.65</v>
      </c>
      <c r="E11">
        <v>12</v>
      </c>
      <c r="F11" t="s">
        <v>104</v>
      </c>
    </row>
    <row r="12" spans="1:6" ht="14.4" x14ac:dyDescent="0.3">
      <c r="A12" s="374" t="s">
        <v>143</v>
      </c>
      <c r="B12" s="38">
        <v>130</v>
      </c>
      <c r="C12" s="38">
        <v>19</v>
      </c>
      <c r="D12">
        <v>7.09</v>
      </c>
      <c r="E12">
        <v>13</v>
      </c>
      <c r="F12" t="s">
        <v>104</v>
      </c>
    </row>
    <row r="13" spans="1:6" ht="14.4" x14ac:dyDescent="0.3">
      <c r="A13" s="374" t="s">
        <v>143</v>
      </c>
      <c r="B13" s="38">
        <v>130</v>
      </c>
      <c r="C13" s="38">
        <v>9</v>
      </c>
      <c r="D13">
        <v>6.52</v>
      </c>
      <c r="E13">
        <v>14</v>
      </c>
      <c r="F13" t="s">
        <v>104</v>
      </c>
    </row>
    <row r="14" spans="1:6" ht="14.4" x14ac:dyDescent="0.3">
      <c r="A14" s="374" t="s">
        <v>143</v>
      </c>
      <c r="B14" s="38">
        <v>130</v>
      </c>
      <c r="C14" s="38">
        <v>10</v>
      </c>
      <c r="D14">
        <v>7.2</v>
      </c>
      <c r="E14">
        <v>15</v>
      </c>
      <c r="F14" t="s">
        <v>104</v>
      </c>
    </row>
    <row r="15" spans="1:6" ht="14.4" x14ac:dyDescent="0.3">
      <c r="A15" s="374" t="s">
        <v>143</v>
      </c>
      <c r="B15" s="38">
        <v>130</v>
      </c>
      <c r="C15" s="38">
        <v>7</v>
      </c>
      <c r="D15">
        <v>7.95</v>
      </c>
      <c r="E15">
        <v>16</v>
      </c>
      <c r="F15" t="s">
        <v>104</v>
      </c>
    </row>
    <row r="16" spans="1:6" ht="14.4" x14ac:dyDescent="0.3">
      <c r="A16" s="374" t="s">
        <v>144</v>
      </c>
      <c r="B16" s="38">
        <v>130</v>
      </c>
      <c r="C16" s="38">
        <v>11</v>
      </c>
      <c r="D16">
        <v>5.87</v>
      </c>
      <c r="E16">
        <v>21</v>
      </c>
      <c r="F16" t="s">
        <v>104</v>
      </c>
    </row>
    <row r="17" spans="1:6" ht="14.4" x14ac:dyDescent="0.3">
      <c r="A17" s="374" t="s">
        <v>144</v>
      </c>
      <c r="B17" s="38">
        <v>130</v>
      </c>
      <c r="C17" s="38">
        <v>13</v>
      </c>
      <c r="D17">
        <v>5.87</v>
      </c>
      <c r="E17">
        <v>22</v>
      </c>
      <c r="F17" t="s">
        <v>104</v>
      </c>
    </row>
    <row r="18" spans="1:6" ht="14.4" x14ac:dyDescent="0.3">
      <c r="A18" s="374" t="s">
        <v>143</v>
      </c>
      <c r="B18" s="38">
        <v>130</v>
      </c>
      <c r="C18" s="38">
        <v>12</v>
      </c>
      <c r="D18">
        <v>5.87</v>
      </c>
      <c r="E18">
        <v>23</v>
      </c>
      <c r="F18" t="s">
        <v>104</v>
      </c>
    </row>
    <row r="19" spans="1:6" ht="14.4" x14ac:dyDescent="0.3">
      <c r="A19" s="374" t="s">
        <v>143</v>
      </c>
      <c r="B19" s="38">
        <v>130</v>
      </c>
      <c r="C19" s="38">
        <v>8</v>
      </c>
      <c r="D19">
        <v>7.84</v>
      </c>
      <c r="E19">
        <v>25</v>
      </c>
      <c r="F19" t="s">
        <v>104</v>
      </c>
    </row>
    <row r="20" spans="1:6" ht="14.4" x14ac:dyDescent="0.3">
      <c r="A20" s="374" t="s">
        <v>143</v>
      </c>
      <c r="B20" s="38">
        <v>130</v>
      </c>
      <c r="C20" s="38">
        <v>5</v>
      </c>
      <c r="D20">
        <v>7.09</v>
      </c>
      <c r="E20">
        <v>27</v>
      </c>
      <c r="F20" t="s">
        <v>104</v>
      </c>
    </row>
    <row r="21" spans="1:6" ht="14.4" x14ac:dyDescent="0.3">
      <c r="A21" s="374" t="s">
        <v>143</v>
      </c>
      <c r="B21" s="38">
        <v>130</v>
      </c>
      <c r="C21" s="38">
        <v>13</v>
      </c>
      <c r="D21">
        <v>7.2</v>
      </c>
      <c r="E21">
        <v>31</v>
      </c>
      <c r="F21" t="s">
        <v>104</v>
      </c>
    </row>
    <row r="22" spans="1:6" ht="14.4" x14ac:dyDescent="0.3">
      <c r="A22" s="374" t="s">
        <v>145</v>
      </c>
      <c r="B22" s="38">
        <v>130</v>
      </c>
      <c r="C22" s="38">
        <v>1</v>
      </c>
      <c r="D22">
        <v>7.25</v>
      </c>
      <c r="E22">
        <v>1</v>
      </c>
      <c r="F22" t="s">
        <v>104</v>
      </c>
    </row>
    <row r="23" spans="1:6" ht="14.4" x14ac:dyDescent="0.3">
      <c r="A23" s="374" t="s">
        <v>145</v>
      </c>
      <c r="B23" s="38">
        <v>130</v>
      </c>
      <c r="C23" s="38">
        <v>3</v>
      </c>
      <c r="D23">
        <v>6.72</v>
      </c>
      <c r="E23">
        <v>3</v>
      </c>
      <c r="F23" t="s">
        <v>104</v>
      </c>
    </row>
    <row r="24" spans="1:6" ht="14.4" x14ac:dyDescent="0.3">
      <c r="A24" s="374" t="s">
        <v>145</v>
      </c>
      <c r="B24" s="38">
        <v>130</v>
      </c>
      <c r="C24" s="38">
        <v>4</v>
      </c>
      <c r="D24">
        <v>6.72</v>
      </c>
      <c r="E24">
        <v>4</v>
      </c>
      <c r="F24" t="s">
        <v>104</v>
      </c>
    </row>
    <row r="25" spans="1:6" ht="14.4" x14ac:dyDescent="0.3">
      <c r="A25" s="374" t="s">
        <v>145</v>
      </c>
      <c r="B25" s="38">
        <v>130</v>
      </c>
      <c r="C25" s="38">
        <v>5</v>
      </c>
      <c r="D25">
        <v>7.25</v>
      </c>
      <c r="E25">
        <v>5</v>
      </c>
      <c r="F25" t="s">
        <v>104</v>
      </c>
    </row>
    <row r="26" spans="1:6" ht="14.4" x14ac:dyDescent="0.3">
      <c r="A26" s="374" t="s">
        <v>145</v>
      </c>
      <c r="B26" s="38">
        <v>130</v>
      </c>
      <c r="C26" s="38">
        <v>6</v>
      </c>
      <c r="D26">
        <v>6.27</v>
      </c>
      <c r="E26">
        <v>6</v>
      </c>
      <c r="F26" t="s">
        <v>104</v>
      </c>
    </row>
    <row r="27" spans="1:6" ht="14.4" x14ac:dyDescent="0.3">
      <c r="A27" s="374" t="s">
        <v>145</v>
      </c>
      <c r="B27" s="38">
        <v>130</v>
      </c>
      <c r="C27" s="38">
        <v>7</v>
      </c>
      <c r="D27">
        <v>6.72</v>
      </c>
      <c r="E27">
        <v>7</v>
      </c>
      <c r="F27" t="s">
        <v>104</v>
      </c>
    </row>
    <row r="28" spans="1:6" ht="14.4" x14ac:dyDescent="0.3">
      <c r="A28" s="374" t="s">
        <v>145</v>
      </c>
      <c r="B28" s="38">
        <v>130</v>
      </c>
      <c r="C28" s="38">
        <v>8</v>
      </c>
      <c r="D28">
        <v>6.72</v>
      </c>
      <c r="E28">
        <v>8</v>
      </c>
      <c r="F28" t="s">
        <v>104</v>
      </c>
    </row>
    <row r="29" spans="1:6" ht="14.4" x14ac:dyDescent="0.3">
      <c r="A29" s="374" t="s">
        <v>145</v>
      </c>
      <c r="B29" s="38">
        <v>130</v>
      </c>
      <c r="C29" s="38">
        <v>9</v>
      </c>
      <c r="D29">
        <v>7.25</v>
      </c>
      <c r="E29">
        <v>9</v>
      </c>
      <c r="F29" t="s">
        <v>104</v>
      </c>
    </row>
    <row r="30" spans="1:6" ht="14.4" x14ac:dyDescent="0.3">
      <c r="A30" s="374" t="s">
        <v>145</v>
      </c>
      <c r="B30" s="38">
        <v>130</v>
      </c>
      <c r="C30" s="38">
        <v>11</v>
      </c>
      <c r="D30">
        <v>6.72</v>
      </c>
      <c r="E30">
        <v>11</v>
      </c>
      <c r="F30" t="s">
        <v>104</v>
      </c>
    </row>
    <row r="31" spans="1:6" ht="14.4" x14ac:dyDescent="0.3">
      <c r="A31" s="374" t="s">
        <v>145</v>
      </c>
      <c r="B31" s="38">
        <v>130</v>
      </c>
      <c r="C31" s="38">
        <v>12</v>
      </c>
      <c r="D31">
        <v>6.72</v>
      </c>
      <c r="E31">
        <v>12</v>
      </c>
      <c r="F31" t="s">
        <v>104</v>
      </c>
    </row>
    <row r="32" spans="1:6" ht="14.4" x14ac:dyDescent="0.3">
      <c r="A32" s="374" t="s">
        <v>145</v>
      </c>
      <c r="B32" s="38">
        <v>130</v>
      </c>
      <c r="C32" s="38">
        <v>13</v>
      </c>
      <c r="D32">
        <v>7.25</v>
      </c>
      <c r="E32">
        <v>13</v>
      </c>
      <c r="F32" t="s">
        <v>104</v>
      </c>
    </row>
    <row r="33" spans="1:6" ht="14.4" x14ac:dyDescent="0.3">
      <c r="A33" s="374" t="s">
        <v>145</v>
      </c>
      <c r="B33" s="38">
        <v>130</v>
      </c>
      <c r="C33" s="38">
        <v>14</v>
      </c>
      <c r="D33">
        <v>6.27</v>
      </c>
      <c r="E33">
        <v>14</v>
      </c>
      <c r="F33" t="s">
        <v>104</v>
      </c>
    </row>
    <row r="34" spans="1:6" ht="14.4" x14ac:dyDescent="0.3">
      <c r="A34" s="374" t="s">
        <v>145</v>
      </c>
      <c r="B34" s="38">
        <v>130</v>
      </c>
      <c r="C34" s="38">
        <v>15</v>
      </c>
      <c r="D34">
        <v>6.72</v>
      </c>
      <c r="E34">
        <v>15</v>
      </c>
      <c r="F34" t="s">
        <v>104</v>
      </c>
    </row>
    <row r="35" spans="1:6" ht="14.4" x14ac:dyDescent="0.3">
      <c r="A35" s="374" t="s">
        <v>145</v>
      </c>
      <c r="B35" s="38">
        <v>130</v>
      </c>
      <c r="C35" s="38">
        <v>16</v>
      </c>
      <c r="D35">
        <v>6.72</v>
      </c>
      <c r="E35">
        <v>16</v>
      </c>
      <c r="F35" t="s">
        <v>104</v>
      </c>
    </row>
    <row r="36" spans="1:6" ht="14.4" x14ac:dyDescent="0.3">
      <c r="A36" s="374" t="s">
        <v>145</v>
      </c>
      <c r="B36" s="38">
        <v>130</v>
      </c>
      <c r="C36" s="38">
        <v>17</v>
      </c>
      <c r="D36">
        <v>7.25</v>
      </c>
      <c r="E36">
        <v>17</v>
      </c>
      <c r="F36" t="s">
        <v>104</v>
      </c>
    </row>
    <row r="37" spans="1:6" ht="14.4" x14ac:dyDescent="0.3">
      <c r="A37" s="374" t="s">
        <v>145</v>
      </c>
      <c r="B37" s="38">
        <v>130</v>
      </c>
      <c r="C37" s="38">
        <v>19</v>
      </c>
      <c r="D37">
        <v>6.72</v>
      </c>
      <c r="E37">
        <v>19</v>
      </c>
      <c r="F37" t="s">
        <v>104</v>
      </c>
    </row>
    <row r="38" spans="1:6" ht="14.4" x14ac:dyDescent="0.3">
      <c r="A38" s="374" t="s">
        <v>145</v>
      </c>
      <c r="B38" s="38">
        <v>130</v>
      </c>
      <c r="C38" s="38">
        <v>20</v>
      </c>
      <c r="D38">
        <v>6.72</v>
      </c>
      <c r="E38">
        <v>20</v>
      </c>
      <c r="F38" t="s">
        <v>104</v>
      </c>
    </row>
    <row r="39" spans="1:6" ht="14.4" x14ac:dyDescent="0.3">
      <c r="A39" s="374" t="s">
        <v>145</v>
      </c>
      <c r="B39" s="38">
        <v>130</v>
      </c>
      <c r="C39" s="38">
        <v>21</v>
      </c>
      <c r="D39">
        <v>7.25</v>
      </c>
      <c r="E39">
        <v>21</v>
      </c>
      <c r="F39" t="s">
        <v>104</v>
      </c>
    </row>
    <row r="40" spans="1:6" ht="14.4" x14ac:dyDescent="0.3">
      <c r="A40" s="374" t="s">
        <v>145</v>
      </c>
      <c r="B40" s="38">
        <v>130</v>
      </c>
      <c r="C40" s="38">
        <v>22</v>
      </c>
      <c r="D40">
        <v>6.27</v>
      </c>
      <c r="E40">
        <v>22</v>
      </c>
      <c r="F40" t="s">
        <v>104</v>
      </c>
    </row>
    <row r="41" spans="1:6" ht="14.4" x14ac:dyDescent="0.3">
      <c r="A41" s="374" t="s">
        <v>145</v>
      </c>
      <c r="B41" s="38">
        <v>130</v>
      </c>
      <c r="C41" s="38">
        <v>23</v>
      </c>
      <c r="D41">
        <v>6.72</v>
      </c>
      <c r="E41">
        <v>23</v>
      </c>
      <c r="F41" t="s">
        <v>104</v>
      </c>
    </row>
    <row r="42" spans="1:6" ht="14.4" x14ac:dyDescent="0.3">
      <c r="A42" s="374" t="s">
        <v>145</v>
      </c>
      <c r="B42" s="38">
        <v>130</v>
      </c>
      <c r="C42" s="38">
        <v>24</v>
      </c>
      <c r="D42">
        <v>6.72</v>
      </c>
      <c r="E42">
        <v>24</v>
      </c>
      <c r="F42" t="s">
        <v>104</v>
      </c>
    </row>
    <row r="43" spans="1:6" ht="14.4" x14ac:dyDescent="0.3">
      <c r="A43" s="374" t="s">
        <v>145</v>
      </c>
      <c r="B43" s="38">
        <v>130</v>
      </c>
      <c r="C43" s="38">
        <v>25</v>
      </c>
      <c r="D43">
        <v>7.25</v>
      </c>
      <c r="E43">
        <v>25</v>
      </c>
      <c r="F43" t="s">
        <v>104</v>
      </c>
    </row>
    <row r="44" spans="1:6" ht="14.4" x14ac:dyDescent="0.3">
      <c r="A44" s="374" t="s">
        <v>145</v>
      </c>
      <c r="B44" s="38">
        <v>130</v>
      </c>
      <c r="C44" s="38">
        <v>27</v>
      </c>
      <c r="D44">
        <v>6.72</v>
      </c>
      <c r="E44">
        <v>27</v>
      </c>
      <c r="F44" t="s">
        <v>104</v>
      </c>
    </row>
    <row r="45" spans="1:6" ht="14.4" x14ac:dyDescent="0.3">
      <c r="A45" s="374" t="s">
        <v>145</v>
      </c>
      <c r="B45" s="38">
        <v>130</v>
      </c>
      <c r="C45" s="38">
        <v>28</v>
      </c>
      <c r="D45">
        <v>6.72</v>
      </c>
      <c r="E45">
        <v>28</v>
      </c>
      <c r="F45" t="s">
        <v>104</v>
      </c>
    </row>
    <row r="46" spans="1:6" ht="14.4" x14ac:dyDescent="0.3">
      <c r="A46" s="374" t="s">
        <v>145</v>
      </c>
      <c r="B46" s="38">
        <v>130</v>
      </c>
      <c r="C46" s="38">
        <v>29</v>
      </c>
      <c r="D46">
        <v>7.25</v>
      </c>
      <c r="E46">
        <v>29</v>
      </c>
      <c r="F46" t="s">
        <v>104</v>
      </c>
    </row>
    <row r="47" spans="1:6" ht="14.4" x14ac:dyDescent="0.3">
      <c r="A47" s="374" t="s">
        <v>145</v>
      </c>
      <c r="B47" s="38">
        <v>130</v>
      </c>
      <c r="C47" s="38">
        <v>30</v>
      </c>
      <c r="D47">
        <v>6.27</v>
      </c>
      <c r="E47">
        <v>30</v>
      </c>
      <c r="F47" t="s">
        <v>104</v>
      </c>
    </row>
    <row r="48" spans="1:6" ht="14.4" x14ac:dyDescent="0.3">
      <c r="A48" s="374" t="s">
        <v>145</v>
      </c>
      <c r="B48" s="38">
        <v>130</v>
      </c>
      <c r="C48" s="38">
        <v>31</v>
      </c>
      <c r="D48">
        <v>6.72</v>
      </c>
      <c r="E48">
        <v>31</v>
      </c>
      <c r="F48" t="s">
        <v>104</v>
      </c>
    </row>
    <row r="49" spans="1:6" ht="14.4" x14ac:dyDescent="0.3">
      <c r="A49" s="374" t="s">
        <v>145</v>
      </c>
      <c r="B49" s="38">
        <v>130</v>
      </c>
      <c r="C49" s="38">
        <v>32</v>
      </c>
      <c r="D49">
        <v>6.72</v>
      </c>
      <c r="E49">
        <v>32</v>
      </c>
      <c r="F49" t="s">
        <v>104</v>
      </c>
    </row>
    <row r="50" spans="1:6" ht="14.4" x14ac:dyDescent="0.3">
      <c r="A50" s="374" t="s">
        <v>145</v>
      </c>
      <c r="B50" s="38">
        <v>130</v>
      </c>
      <c r="C50" s="38">
        <v>35</v>
      </c>
      <c r="D50">
        <v>6.72</v>
      </c>
      <c r="E50">
        <v>35</v>
      </c>
      <c r="F50" t="s">
        <v>104</v>
      </c>
    </row>
    <row r="51" spans="1:6" ht="14.4" x14ac:dyDescent="0.3">
      <c r="A51" s="374" t="s">
        <v>145</v>
      </c>
      <c r="B51" s="38">
        <v>130</v>
      </c>
      <c r="C51" s="38">
        <v>36</v>
      </c>
      <c r="D51">
        <v>6.72</v>
      </c>
      <c r="E51">
        <v>36</v>
      </c>
      <c r="F51" t="s">
        <v>104</v>
      </c>
    </row>
    <row r="52" spans="1:6" ht="14.4" x14ac:dyDescent="0.3">
      <c r="A52" s="374" t="s">
        <v>145</v>
      </c>
      <c r="B52" s="38">
        <v>130</v>
      </c>
      <c r="C52" s="38">
        <v>39</v>
      </c>
      <c r="D52">
        <v>6.72</v>
      </c>
      <c r="E52">
        <v>39</v>
      </c>
      <c r="F52" t="s">
        <v>104</v>
      </c>
    </row>
    <row r="53" spans="1:6" ht="14.4" x14ac:dyDescent="0.3">
      <c r="A53" s="374" t="s">
        <v>145</v>
      </c>
      <c r="B53" s="38">
        <v>130</v>
      </c>
      <c r="C53" s="38">
        <v>40</v>
      </c>
      <c r="D53">
        <v>6.72</v>
      </c>
      <c r="E53">
        <v>40</v>
      </c>
      <c r="F53" t="s">
        <v>104</v>
      </c>
    </row>
    <row r="54" spans="1:6" ht="14.4" x14ac:dyDescent="0.3">
      <c r="A54" s="374" t="s">
        <v>145</v>
      </c>
      <c r="B54" s="38">
        <v>130</v>
      </c>
      <c r="C54" s="38">
        <v>43</v>
      </c>
      <c r="D54">
        <v>6.72</v>
      </c>
      <c r="E54">
        <v>43</v>
      </c>
      <c r="F54" t="s">
        <v>104</v>
      </c>
    </row>
    <row r="55" spans="1:6" ht="14.4" x14ac:dyDescent="0.3">
      <c r="A55" s="374" t="s">
        <v>145</v>
      </c>
      <c r="B55" s="38">
        <v>130</v>
      </c>
      <c r="C55" s="38">
        <v>44</v>
      </c>
      <c r="D55">
        <v>6.72</v>
      </c>
      <c r="E55">
        <v>44</v>
      </c>
      <c r="F55" t="s">
        <v>104</v>
      </c>
    </row>
    <row r="56" spans="1:6" ht="14.4" x14ac:dyDescent="0.3">
      <c r="A56" s="374" t="s">
        <v>145</v>
      </c>
      <c r="B56" s="38">
        <v>130</v>
      </c>
      <c r="C56" s="38">
        <v>47</v>
      </c>
      <c r="D56">
        <v>6.72</v>
      </c>
      <c r="E56">
        <v>47</v>
      </c>
      <c r="F56" t="s">
        <v>104</v>
      </c>
    </row>
    <row r="57" spans="1:6" ht="14.4" x14ac:dyDescent="0.3">
      <c r="A57" s="374" t="s">
        <v>145</v>
      </c>
      <c r="B57" s="38">
        <v>130</v>
      </c>
      <c r="C57" s="38">
        <v>48</v>
      </c>
      <c r="D57">
        <v>6.72</v>
      </c>
      <c r="E57">
        <v>48</v>
      </c>
      <c r="F57" t="s">
        <v>104</v>
      </c>
    </row>
    <row r="58" spans="1:6" ht="14.4" x14ac:dyDescent="0.3">
      <c r="A58" s="374" t="s">
        <v>145</v>
      </c>
      <c r="B58" s="38">
        <v>130</v>
      </c>
      <c r="C58" s="38">
        <v>51</v>
      </c>
      <c r="D58">
        <v>6.72</v>
      </c>
      <c r="E58">
        <v>51</v>
      </c>
      <c r="F58" t="s">
        <v>104</v>
      </c>
    </row>
    <row r="59" spans="1:6" ht="14.4" x14ac:dyDescent="0.3">
      <c r="A59" s="374" t="s">
        <v>145</v>
      </c>
      <c r="B59" s="38">
        <v>130</v>
      </c>
      <c r="C59" s="38">
        <v>52</v>
      </c>
      <c r="D59">
        <v>6.72</v>
      </c>
      <c r="E59">
        <v>52</v>
      </c>
      <c r="F59" t="s">
        <v>104</v>
      </c>
    </row>
    <row r="60" spans="1:6" ht="14.4" x14ac:dyDescent="0.3">
      <c r="A60" s="374" t="s">
        <v>145</v>
      </c>
      <c r="B60" s="38">
        <v>130</v>
      </c>
      <c r="C60" s="38">
        <v>55</v>
      </c>
      <c r="D60">
        <v>6.72</v>
      </c>
      <c r="E60">
        <v>55</v>
      </c>
      <c r="F60" t="s">
        <v>104</v>
      </c>
    </row>
    <row r="61" spans="1:6" ht="14.4" x14ac:dyDescent="0.3">
      <c r="A61" s="374" t="s">
        <v>145</v>
      </c>
      <c r="B61" s="38">
        <v>130</v>
      </c>
      <c r="C61" s="38">
        <v>59</v>
      </c>
      <c r="D61">
        <v>6.72</v>
      </c>
      <c r="E61">
        <v>59</v>
      </c>
      <c r="F61" t="s">
        <v>104</v>
      </c>
    </row>
    <row r="62" spans="1:6" ht="14.4" x14ac:dyDescent="0.3">
      <c r="A62" s="374" t="s">
        <v>145</v>
      </c>
      <c r="B62" s="38">
        <v>130</v>
      </c>
      <c r="C62" s="38">
        <v>63</v>
      </c>
      <c r="D62">
        <v>6.72</v>
      </c>
      <c r="E62">
        <v>63</v>
      </c>
      <c r="F62" t="s">
        <v>104</v>
      </c>
    </row>
    <row r="63" spans="1:6" ht="14.4" x14ac:dyDescent="0.3">
      <c r="A63" s="374" t="s">
        <v>145</v>
      </c>
      <c r="B63" s="38">
        <v>130</v>
      </c>
      <c r="C63" s="38">
        <v>67</v>
      </c>
      <c r="D63">
        <v>6.72</v>
      </c>
      <c r="E63">
        <v>67</v>
      </c>
      <c r="F63" t="s">
        <v>104</v>
      </c>
    </row>
    <row r="64" spans="1:6" ht="14.4" x14ac:dyDescent="0.3">
      <c r="A64" s="374" t="s">
        <v>145</v>
      </c>
      <c r="B64" s="38">
        <v>130</v>
      </c>
      <c r="C64" s="38">
        <v>71</v>
      </c>
      <c r="D64">
        <v>6.72</v>
      </c>
      <c r="E64">
        <v>71</v>
      </c>
      <c r="F64" t="s">
        <v>104</v>
      </c>
    </row>
    <row r="65" spans="1:6" ht="14.4" x14ac:dyDescent="0.3">
      <c r="A65" s="374" t="s">
        <v>145</v>
      </c>
      <c r="B65" s="38">
        <v>130</v>
      </c>
      <c r="C65" s="38">
        <v>75</v>
      </c>
      <c r="D65">
        <v>6.72</v>
      </c>
      <c r="E65">
        <v>75</v>
      </c>
      <c r="F65" t="s">
        <v>104</v>
      </c>
    </row>
    <row r="66" spans="1:6" ht="14.4" x14ac:dyDescent="0.3">
      <c r="A66" s="374" t="s">
        <v>145</v>
      </c>
      <c r="B66" s="38">
        <v>130</v>
      </c>
      <c r="C66" s="38">
        <v>79</v>
      </c>
      <c r="D66">
        <v>6.72</v>
      </c>
      <c r="E66">
        <v>79</v>
      </c>
      <c r="F66" t="s">
        <v>104</v>
      </c>
    </row>
    <row r="67" spans="1:6" ht="14.4" x14ac:dyDescent="0.3">
      <c r="A67" s="374" t="s">
        <v>145</v>
      </c>
      <c r="B67" s="38">
        <v>130</v>
      </c>
      <c r="C67" s="38">
        <v>83</v>
      </c>
      <c r="D67">
        <v>6.72</v>
      </c>
      <c r="E67">
        <v>83</v>
      </c>
      <c r="F67" t="s">
        <v>104</v>
      </c>
    </row>
    <row r="68" spans="1:6" ht="14.4" x14ac:dyDescent="0.3">
      <c r="A68" s="374" t="s">
        <v>145</v>
      </c>
      <c r="B68" s="38">
        <v>130</v>
      </c>
      <c r="C68" s="38">
        <v>87</v>
      </c>
      <c r="D68">
        <v>6.72</v>
      </c>
      <c r="E68">
        <v>87</v>
      </c>
      <c r="F68" t="s">
        <v>104</v>
      </c>
    </row>
  </sheetData>
  <autoFilter ref="A1:E68" xr:uid="{00000000-0001-0000-0200-000000000000}">
    <sortState xmlns:xlrd2="http://schemas.microsoft.com/office/spreadsheetml/2017/richdata2" ref="A2:E21">
      <sortCondition ref="E1:E68"/>
    </sortState>
  </autoFilter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E19"/>
  <sheetViews>
    <sheetView rightToLeft="1" topLeftCell="A6" zoomScale="80" zoomScaleNormal="80" workbookViewId="0">
      <selection activeCell="B4" sqref="B4"/>
    </sheetView>
  </sheetViews>
  <sheetFormatPr defaultColWidth="8.88671875" defaultRowHeight="14.25" customHeight="1" x14ac:dyDescent="0.3"/>
  <cols>
    <col min="2" max="2" width="20.109375" customWidth="1"/>
  </cols>
  <sheetData>
    <row r="5" spans="2:5" ht="15.6" x14ac:dyDescent="0.35">
      <c r="B5" s="375" t="s">
        <v>125</v>
      </c>
    </row>
    <row r="7" spans="2:5" ht="46.8" x14ac:dyDescent="0.35">
      <c r="B7" s="6" t="s">
        <v>2</v>
      </c>
      <c r="C7" s="7" t="s">
        <v>3</v>
      </c>
      <c r="D7" s="8" t="s">
        <v>4</v>
      </c>
    </row>
    <row r="8" spans="2:5" ht="14.4" x14ac:dyDescent="0.3">
      <c r="B8" s="20">
        <v>5</v>
      </c>
      <c r="C8" s="12">
        <v>20</v>
      </c>
      <c r="D8" s="12">
        <v>20</v>
      </c>
    </row>
    <row r="9" spans="2:5" ht="14.4" x14ac:dyDescent="0.3">
      <c r="B9" s="16">
        <v>5.5</v>
      </c>
      <c r="C9" s="12">
        <v>1</v>
      </c>
      <c r="D9" s="12">
        <v>1</v>
      </c>
    </row>
    <row r="10" spans="2:5" ht="14.4" x14ac:dyDescent="0.3">
      <c r="B10" s="20">
        <v>6</v>
      </c>
      <c r="C10" s="12">
        <v>5</v>
      </c>
      <c r="D10" s="12">
        <v>5</v>
      </c>
    </row>
    <row r="11" spans="2:5" ht="15.6" x14ac:dyDescent="0.35">
      <c r="B11" s="29" t="s">
        <v>15</v>
      </c>
      <c r="C11" s="30">
        <f>SUM(C8:C10)</f>
        <v>26</v>
      </c>
      <c r="D11" s="30">
        <f>SUM(D8:D10)</f>
        <v>26</v>
      </c>
    </row>
    <row r="13" spans="2:5" ht="15.6" x14ac:dyDescent="0.35">
      <c r="B13" s="375" t="s">
        <v>126</v>
      </c>
    </row>
    <row r="14" spans="2:5" ht="15.6" x14ac:dyDescent="0.35">
      <c r="B14" s="376" t="s">
        <v>127</v>
      </c>
      <c r="D14" s="377">
        <f>40/107</f>
        <v>0.37383177570093457</v>
      </c>
      <c r="E14" s="38"/>
    </row>
    <row r="15" spans="2:5" ht="78" x14ac:dyDescent="0.35">
      <c r="B15" s="6" t="s">
        <v>2</v>
      </c>
      <c r="C15" s="7" t="s">
        <v>3</v>
      </c>
      <c r="D15" s="378" t="s">
        <v>128</v>
      </c>
      <c r="E15" s="378" t="s">
        <v>129</v>
      </c>
    </row>
    <row r="16" spans="2:5" ht="14.4" x14ac:dyDescent="0.3">
      <c r="B16" s="11">
        <v>3</v>
      </c>
      <c r="C16" s="12">
        <v>32</v>
      </c>
      <c r="D16" s="379">
        <f>D14*C16</f>
        <v>11.962616822429906</v>
      </c>
      <c r="E16" s="379">
        <f>C16-D16</f>
        <v>20.037383177570092</v>
      </c>
    </row>
    <row r="17" spans="2:5" ht="14.4" x14ac:dyDescent="0.3">
      <c r="B17" s="16">
        <v>4</v>
      </c>
      <c r="C17" s="12">
        <v>60</v>
      </c>
      <c r="D17" s="379">
        <v>23</v>
      </c>
      <c r="E17" s="379">
        <f>C17-D17</f>
        <v>37</v>
      </c>
    </row>
    <row r="18" spans="2:5" ht="14.4" x14ac:dyDescent="0.3">
      <c r="B18" s="20">
        <v>5</v>
      </c>
      <c r="C18" s="12">
        <v>15</v>
      </c>
      <c r="D18" s="379">
        <v>5</v>
      </c>
      <c r="E18" s="379">
        <v>10</v>
      </c>
    </row>
    <row r="19" spans="2:5" ht="15.6" x14ac:dyDescent="0.35">
      <c r="B19" s="29" t="s">
        <v>15</v>
      </c>
      <c r="C19" s="30">
        <f>SUM(C16:C18)</f>
        <v>107</v>
      </c>
      <c r="D19" s="380">
        <f>SUM(D16:D18)</f>
        <v>39.962616822429908</v>
      </c>
      <c r="E19" s="31">
        <v>67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2:K25"/>
  <sheetViews>
    <sheetView rightToLeft="1" zoomScale="80" zoomScaleNormal="80" workbookViewId="0">
      <selection activeCell="E31" sqref="E31"/>
    </sheetView>
  </sheetViews>
  <sheetFormatPr defaultColWidth="8.88671875" defaultRowHeight="14.25" customHeight="1" x14ac:dyDescent="0.3"/>
  <cols>
    <col min="1" max="1" width="17.33203125" customWidth="1"/>
    <col min="2" max="2" width="22.44140625" customWidth="1"/>
    <col min="3" max="3" width="9.109375" hidden="1" customWidth="1"/>
    <col min="4" max="4" width="23.44140625" customWidth="1"/>
    <col min="5" max="5" width="23" customWidth="1"/>
    <col min="6" max="6" width="23.33203125" customWidth="1"/>
    <col min="7" max="7" width="23.44140625" customWidth="1"/>
    <col min="8" max="8" width="22" customWidth="1"/>
    <col min="9" max="9" width="23" customWidth="1"/>
    <col min="10" max="10" width="20.44140625" customWidth="1"/>
    <col min="11" max="11" width="25" customWidth="1"/>
  </cols>
  <sheetData>
    <row r="2" spans="1:11" ht="18" x14ac:dyDescent="0.35">
      <c r="D2" s="422"/>
      <c r="E2" s="422"/>
    </row>
    <row r="4" spans="1:11" ht="18" x14ac:dyDescent="0.35">
      <c r="G4" s="423" t="e">
        <f>_xlfn.CONCAT("מתחם"," ",'[2]מחיר למשתכן'!B4)</f>
        <v>#REF!</v>
      </c>
      <c r="H4" s="423"/>
    </row>
    <row r="8" spans="1:11" ht="31.2" x14ac:dyDescent="0.35">
      <c r="A8" s="381" t="s">
        <v>130</v>
      </c>
      <c r="B8" s="382" t="s">
        <v>131</v>
      </c>
      <c r="C8" s="382"/>
      <c r="D8" s="383" t="s">
        <v>132</v>
      </c>
      <c r="E8" s="383" t="s">
        <v>133</v>
      </c>
      <c r="F8" s="384" t="s">
        <v>134</v>
      </c>
      <c r="G8" s="385" t="s">
        <v>135</v>
      </c>
      <c r="H8" s="386" t="s">
        <v>136</v>
      </c>
      <c r="I8" s="386" t="s">
        <v>137</v>
      </c>
      <c r="J8" s="387" t="s">
        <v>138</v>
      </c>
      <c r="K8" s="388" t="s">
        <v>35</v>
      </c>
    </row>
    <row r="9" spans="1:11" ht="14.4" x14ac:dyDescent="0.3">
      <c r="A9" s="389">
        <v>1</v>
      </c>
      <c r="B9" s="390">
        <f>F9/$H$19</f>
        <v>1.0075757575757576</v>
      </c>
      <c r="C9" s="391" t="e">
        <f>G9/I19</f>
        <v>#DIV/0!</v>
      </c>
      <c r="D9" s="392">
        <f>$H$19*0.75</f>
        <v>0.3721804511278195</v>
      </c>
      <c r="E9" s="393">
        <f>$H$19*1.25</f>
        <v>0.62030075187969924</v>
      </c>
      <c r="F9" s="393">
        <f>I9/J9</f>
        <v>0.5</v>
      </c>
      <c r="G9" s="394">
        <f>H9/J9</f>
        <v>0.5</v>
      </c>
      <c r="H9" s="395">
        <v>10</v>
      </c>
      <c r="I9" s="395">
        <v>10</v>
      </c>
      <c r="J9" s="72">
        <f>H9+I9</f>
        <v>20</v>
      </c>
      <c r="K9" s="396"/>
    </row>
    <row r="10" spans="1:11" ht="14.4" x14ac:dyDescent="0.3">
      <c r="A10" s="389">
        <v>2</v>
      </c>
      <c r="B10" s="390">
        <f>F10/$H$19</f>
        <v>1.0075757575757576</v>
      </c>
      <c r="D10" s="392">
        <f>$H$19*0.75</f>
        <v>0.3721804511278195</v>
      </c>
      <c r="E10" s="393">
        <f>$H$19*1.25</f>
        <v>0.62030075187969924</v>
      </c>
      <c r="F10" s="393">
        <f>I10/J10</f>
        <v>0.5</v>
      </c>
      <c r="G10" s="394">
        <f>H10/J10</f>
        <v>0.5</v>
      </c>
      <c r="H10" s="395">
        <v>10</v>
      </c>
      <c r="I10" s="395">
        <v>10</v>
      </c>
      <c r="J10" s="72">
        <f>H10+I10</f>
        <v>20</v>
      </c>
      <c r="K10" s="396"/>
    </row>
    <row r="11" spans="1:11" ht="14.4" x14ac:dyDescent="0.3">
      <c r="A11" s="389">
        <v>3</v>
      </c>
      <c r="B11" s="390">
        <f>F11/$H$19</f>
        <v>0.99674160964483549</v>
      </c>
      <c r="D11" s="392">
        <f>$H$19*0.75</f>
        <v>0.3721804511278195</v>
      </c>
      <c r="E11" s="393">
        <f>$H$19*1.25</f>
        <v>0.62030075187969924</v>
      </c>
      <c r="F11" s="393">
        <f>I11/J11</f>
        <v>0.4946236559139785</v>
      </c>
      <c r="G11" s="394">
        <f>H11/J11</f>
        <v>0.5053763440860215</v>
      </c>
      <c r="H11" s="395">
        <v>47</v>
      </c>
      <c r="I11" s="395">
        <v>46</v>
      </c>
      <c r="J11" s="72">
        <f>H11+I11</f>
        <v>93</v>
      </c>
      <c r="K11" s="396"/>
    </row>
    <row r="12" spans="1:11" ht="20.399999999999999" x14ac:dyDescent="0.45">
      <c r="G12" s="397" t="s">
        <v>139</v>
      </c>
      <c r="H12" s="398">
        <f>SUM(H9:H11)</f>
        <v>67</v>
      </c>
      <c r="I12" s="398">
        <f>SUM(I9:I11)</f>
        <v>66</v>
      </c>
      <c r="J12" s="399">
        <f>SUM(J9:J11)</f>
        <v>133</v>
      </c>
    </row>
    <row r="19" spans="4:9" ht="15.6" x14ac:dyDescent="0.35">
      <c r="G19" s="400" t="s">
        <v>140</v>
      </c>
      <c r="H19" s="401">
        <f>I12/J12</f>
        <v>0.49624060150375937</v>
      </c>
      <c r="I19" s="401" t="e">
        <f>J12/K12</f>
        <v>#DIV/0!</v>
      </c>
    </row>
    <row r="25" spans="4:9" ht="15.6" x14ac:dyDescent="0.35">
      <c r="D25" s="18"/>
    </row>
  </sheetData>
  <mergeCells count="2">
    <mergeCell ref="D2:E2"/>
    <mergeCell ref="G4:H4"/>
  </mergeCells>
  <conditionalFormatting sqref="B9:B11">
    <cfRule type="cellIs" dxfId="1" priority="2" operator="lessThan">
      <formula>0.75</formula>
    </cfRule>
    <cfRule type="cellIs" dxfId="0" priority="3" operator="greaterThan">
      <formula>1.25</formula>
    </cfRule>
  </conditionalFormatting>
  <pageMargins left="0.7" right="0.7" top="0.75" bottom="0.75" header="0.511811023622047" footer="0.511811023622047"/>
  <pageSetup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1747</TotalTime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2</vt:i4>
      </vt:variant>
    </vt:vector>
  </HeadingPairs>
  <TitlesOfParts>
    <vt:vector size="7" baseType="lpstr">
      <vt:lpstr>לאחר בחירה מחודשת-מחיר מטרה (2)</vt:lpstr>
      <vt:lpstr>13.1.2025-מחיר מטרה</vt:lpstr>
      <vt:lpstr>בדיקת מחסנים</vt:lpstr>
      <vt:lpstr>גיליון1</vt:lpstr>
      <vt:lpstr>13.1.2025-יחס יח"ד בבניניים</vt:lpstr>
      <vt:lpstr>'13.1.2025-מחיר מטרה'!WPrint_Area_W</vt:lpstr>
      <vt:lpstr>'לאחר בחירה מחודשת-מחיר מטרה (2)'!WPrint_Area_W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ממן ידידיה - שמאי אבני דרך</dc:creator>
  <dc:description/>
  <cp:lastModifiedBy>נועם שניידר</cp:lastModifiedBy>
  <cp:revision>21</cp:revision>
  <cp:lastPrinted>2025-05-12T13:29:02Z</cp:lastPrinted>
  <dcterms:created xsi:type="dcterms:W3CDTF">2025-01-15T10:52:36Z</dcterms:created>
  <dcterms:modified xsi:type="dcterms:W3CDTF">2025-05-19T07:45:35Z</dcterms:modified>
  <dc:language>en-US</dc:language>
</cp:coreProperties>
</file>